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prawozdawczosc\2018\roczna\dane z jednostek\"/>
    </mc:Choice>
  </mc:AlternateContent>
  <bookViews>
    <workbookView xWindow="0" yWindow="0" windowWidth="28800" windowHeight="12330"/>
  </bookViews>
  <sheets>
    <sheet name="Podsumowanie" sheetId="40" r:id="rId1"/>
    <sheet name="dolnośląskie" sheetId="1" r:id="rId2"/>
    <sheet name="kujawsko-pomorskie" sheetId="2" r:id="rId3"/>
    <sheet name="lubelskie" sheetId="3" r:id="rId4"/>
    <sheet name="lubuskie" sheetId="4" r:id="rId5"/>
    <sheet name="łódzkie" sheetId="5" r:id="rId6"/>
    <sheet name="małopolskie" sheetId="6" r:id="rId7"/>
    <sheet name="mazowieckie" sheetId="7" r:id="rId8"/>
    <sheet name="opolskie" sheetId="8" r:id="rId9"/>
    <sheet name="podkarpackie" sheetId="9" r:id="rId10"/>
    <sheet name="podlaskie" sheetId="10" r:id="rId11"/>
    <sheet name="pomorskie" sheetId="11" r:id="rId12"/>
    <sheet name="ślaskie" sheetId="12" r:id="rId13"/>
    <sheet name="świętokrzyskie" sheetId="13" r:id="rId14"/>
    <sheet name="warmińsko-mazurskie" sheetId="14" r:id="rId15"/>
    <sheet name="wielkopolskie" sheetId="15" r:id="rId16"/>
    <sheet name="zachodniopomorskie" sheetId="16" r:id="rId17"/>
    <sheet name="KOWR" sheetId="37" r:id="rId18"/>
    <sheet name="ARiMR" sheetId="38" r:id="rId19"/>
    <sheet name="MRiRW" sheetId="19" r:id="rId20"/>
    <sheet name="Centrum Doradztwa Rolniczego" sheetId="20" r:id="rId21"/>
    <sheet name="ODR woj. dolnośląskie" sheetId="21" r:id="rId22"/>
    <sheet name="ODR woj. kujawsko-pomorskie" sheetId="22" r:id="rId23"/>
    <sheet name="ODR woj. lubelskie" sheetId="23" r:id="rId24"/>
    <sheet name="ODR woj. lubuskie" sheetId="24" r:id="rId25"/>
    <sheet name="ODR woj. łódzkie" sheetId="25" r:id="rId26"/>
    <sheet name="ODR woj. małopolskie" sheetId="26" r:id="rId27"/>
    <sheet name="ODR woj. mazowieckie" sheetId="27" r:id="rId28"/>
    <sheet name="ODR woj. opolskie" sheetId="28" r:id="rId29"/>
    <sheet name="ODR woj. podkarpackie" sheetId="29" r:id="rId30"/>
    <sheet name="ODR woj. podlaskie" sheetId="30" r:id="rId31"/>
    <sheet name="ODR woj. pomorskie" sheetId="31" r:id="rId32"/>
    <sheet name="ODR woj. ślaskie" sheetId="32" r:id="rId33"/>
    <sheet name="ODR woj. świętokrzyskie" sheetId="33" r:id="rId34"/>
    <sheet name="ODR woj. warmińsko-mazurskie" sheetId="34" r:id="rId35"/>
    <sheet name="ODR woj. wielkopolskie" sheetId="35" r:id="rId36"/>
    <sheet name="ODR woj. zachodniopomorskie" sheetId="36" r:id="rId37"/>
    <sheet name="Jednostka Centralna" sheetId="39" r:id="rId38"/>
  </sheets>
  <externalReferences>
    <externalReference r:id="rId39"/>
  </externalReferenc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 i="19" l="1"/>
  <c r="J43" i="19"/>
  <c r="I43" i="19"/>
  <c r="H43" i="19"/>
  <c r="G43" i="19"/>
  <c r="F43" i="19"/>
  <c r="E43" i="19"/>
  <c r="D43" i="19"/>
  <c r="A36" i="19"/>
  <c r="H30" i="19"/>
  <c r="G30" i="19"/>
  <c r="F30" i="19"/>
  <c r="E30" i="19"/>
  <c r="G112" i="39" l="1"/>
  <c r="G170" i="40"/>
  <c r="G169" i="40"/>
  <c r="G168" i="40"/>
  <c r="G167" i="40"/>
  <c r="G159" i="40"/>
  <c r="G162" i="40" s="1"/>
  <c r="F159" i="40"/>
  <c r="E159" i="40"/>
  <c r="E162" i="40" s="1"/>
  <c r="D159" i="40"/>
  <c r="D162" i="40" s="1"/>
  <c r="L146" i="40"/>
  <c r="L149" i="40" s="1"/>
  <c r="K146" i="40"/>
  <c r="K149" i="40" s="1"/>
  <c r="J146" i="40"/>
  <c r="J149" i="40" s="1"/>
  <c r="I146" i="40"/>
  <c r="H146" i="40"/>
  <c r="H149" i="40" s="1"/>
  <c r="F146" i="40"/>
  <c r="E146" i="40"/>
  <c r="E149" i="40" s="1"/>
  <c r="D146" i="40"/>
  <c r="O135" i="40"/>
  <c r="N135" i="40"/>
  <c r="M135" i="40"/>
  <c r="M138" i="40" s="1"/>
  <c r="L135" i="40"/>
  <c r="L138" i="40" s="1"/>
  <c r="K135" i="40"/>
  <c r="K138" i="40" s="1"/>
  <c r="J135" i="40"/>
  <c r="I135" i="40"/>
  <c r="I138" i="40" s="1"/>
  <c r="H135" i="40"/>
  <c r="H138" i="40" s="1"/>
  <c r="F135" i="40"/>
  <c r="E135" i="40"/>
  <c r="E138" i="40" s="1"/>
  <c r="D135" i="40"/>
  <c r="D138" i="40" s="1"/>
  <c r="I122" i="40"/>
  <c r="H122" i="40"/>
  <c r="G122" i="40"/>
  <c r="F122" i="40"/>
  <c r="E122" i="40"/>
  <c r="K122" i="40" s="1"/>
  <c r="D122" i="40"/>
  <c r="J112" i="40"/>
  <c r="J115" i="40" s="1"/>
  <c r="I112" i="40"/>
  <c r="I115" i="40" s="1"/>
  <c r="H112" i="40"/>
  <c r="F112" i="40"/>
  <c r="F115" i="40" s="1"/>
  <c r="E112" i="40"/>
  <c r="D112" i="40"/>
  <c r="D115" i="40" s="1"/>
  <c r="F99" i="40"/>
  <c r="E99" i="40"/>
  <c r="D99" i="40"/>
  <c r="K89" i="40"/>
  <c r="K92" i="40" s="1"/>
  <c r="J89" i="40"/>
  <c r="I89" i="40"/>
  <c r="I92" i="40" s="1"/>
  <c r="H89" i="40"/>
  <c r="H92" i="40" s="1"/>
  <c r="G89" i="40"/>
  <c r="G92" i="40" s="1"/>
  <c r="F89" i="40"/>
  <c r="E89" i="40"/>
  <c r="E92" i="40" s="1"/>
  <c r="D89" i="40"/>
  <c r="D92" i="40" s="1"/>
  <c r="K78" i="40"/>
  <c r="J78" i="40"/>
  <c r="I78" i="40"/>
  <c r="I81" i="40" s="1"/>
  <c r="H78" i="40"/>
  <c r="H81" i="40" s="1"/>
  <c r="G78" i="40"/>
  <c r="G81" i="40" s="1"/>
  <c r="F78" i="40"/>
  <c r="E78" i="40"/>
  <c r="D78" i="40"/>
  <c r="D81" i="40" s="1"/>
  <c r="K67" i="40"/>
  <c r="K70" i="40" s="1"/>
  <c r="J67" i="40"/>
  <c r="I67" i="40"/>
  <c r="I70" i="40" s="1"/>
  <c r="H67" i="40"/>
  <c r="G67" i="40"/>
  <c r="G70" i="40" s="1"/>
  <c r="F67" i="40"/>
  <c r="E67" i="40"/>
  <c r="E70" i="40" s="1"/>
  <c r="D67" i="40"/>
  <c r="D70" i="40" s="1"/>
  <c r="K54" i="40"/>
  <c r="K57" i="40" s="1"/>
  <c r="J54" i="40"/>
  <c r="I54" i="40"/>
  <c r="I57" i="40" s="1"/>
  <c r="H54" i="40"/>
  <c r="H57" i="40" s="1"/>
  <c r="G54" i="40"/>
  <c r="G57" i="40" s="1"/>
  <c r="F54" i="40"/>
  <c r="E54" i="40"/>
  <c r="D54" i="40"/>
  <c r="D57" i="40" s="1"/>
  <c r="K40" i="40"/>
  <c r="K43" i="40" s="1"/>
  <c r="J40" i="40"/>
  <c r="I40" i="40"/>
  <c r="I43" i="40" s="1"/>
  <c r="H40" i="40"/>
  <c r="H43" i="40" s="1"/>
  <c r="G40" i="40"/>
  <c r="G43" i="40" s="1"/>
  <c r="F40" i="40"/>
  <c r="E40" i="40"/>
  <c r="E43" i="40" s="1"/>
  <c r="D40" i="40"/>
  <c r="D43" i="40" s="1"/>
  <c r="G27" i="40"/>
  <c r="F27" i="40"/>
  <c r="F30" i="40" s="1"/>
  <c r="E27" i="40"/>
  <c r="D27" i="40"/>
  <c r="O16" i="40"/>
  <c r="O19" i="40" s="1"/>
  <c r="N16" i="40"/>
  <c r="N19" i="40" s="1"/>
  <c r="M16" i="40"/>
  <c r="M19" i="40" s="1"/>
  <c r="L16" i="40"/>
  <c r="K16" i="40"/>
  <c r="K19" i="40" s="1"/>
  <c r="J16" i="40"/>
  <c r="I16" i="40"/>
  <c r="I19" i="40" s="1"/>
  <c r="G16" i="40"/>
  <c r="F16" i="40"/>
  <c r="F19" i="40" s="1"/>
  <c r="E16" i="40"/>
  <c r="E19" i="40" s="1"/>
  <c r="D16" i="40"/>
  <c r="D19" i="40" s="1"/>
  <c r="I171" i="40"/>
  <c r="F171" i="40"/>
  <c r="E171" i="40"/>
  <c r="C171" i="40"/>
  <c r="I166" i="40"/>
  <c r="H166" i="40"/>
  <c r="H171" i="40" s="1"/>
  <c r="F166" i="40"/>
  <c r="E166" i="40"/>
  <c r="D166" i="40"/>
  <c r="D171" i="40" s="1"/>
  <c r="C166" i="40"/>
  <c r="F162" i="40"/>
  <c r="I149" i="40"/>
  <c r="F149" i="40"/>
  <c r="D149" i="40"/>
  <c r="G148" i="40"/>
  <c r="G147" i="40"/>
  <c r="G145" i="40"/>
  <c r="G144" i="40"/>
  <c r="G143" i="40"/>
  <c r="G142" i="40"/>
  <c r="O138" i="40"/>
  <c r="N138" i="40"/>
  <c r="J138" i="40"/>
  <c r="F138" i="40"/>
  <c r="G137" i="40"/>
  <c r="G136" i="40"/>
  <c r="G134" i="40"/>
  <c r="G133" i="40"/>
  <c r="G132" i="40"/>
  <c r="G131" i="40"/>
  <c r="I125" i="40"/>
  <c r="G125" i="40"/>
  <c r="E125" i="40"/>
  <c r="K124" i="40"/>
  <c r="J124" i="40"/>
  <c r="K123" i="40"/>
  <c r="J123" i="40"/>
  <c r="K121" i="40"/>
  <c r="J121" i="40"/>
  <c r="K120" i="40"/>
  <c r="J120" i="40"/>
  <c r="K119" i="40"/>
  <c r="J119" i="40"/>
  <c r="K118" i="40"/>
  <c r="J118" i="40"/>
  <c r="H115" i="40"/>
  <c r="E115" i="40"/>
  <c r="G114" i="40"/>
  <c r="G113" i="40"/>
  <c r="G111" i="40"/>
  <c r="G110" i="40"/>
  <c r="G109" i="40"/>
  <c r="G108" i="40"/>
  <c r="F102" i="40"/>
  <c r="E102" i="40"/>
  <c r="D102" i="40"/>
  <c r="G101" i="40"/>
  <c r="G100" i="40"/>
  <c r="G99" i="40"/>
  <c r="G98" i="40"/>
  <c r="G97" i="40"/>
  <c r="G96" i="40"/>
  <c r="J92" i="40"/>
  <c r="F92" i="40"/>
  <c r="K81" i="40"/>
  <c r="J81" i="40"/>
  <c r="F81" i="40"/>
  <c r="E81" i="40"/>
  <c r="L70" i="40"/>
  <c r="J70" i="40"/>
  <c r="H70" i="40"/>
  <c r="F70" i="40"/>
  <c r="J57" i="40"/>
  <c r="F57" i="40"/>
  <c r="E57" i="40"/>
  <c r="J43" i="40"/>
  <c r="F43" i="40"/>
  <c r="G30" i="40"/>
  <c r="E30" i="40"/>
  <c r="H29" i="40"/>
  <c r="H28" i="40"/>
  <c r="H26" i="40"/>
  <c r="H25" i="40"/>
  <c r="H24" i="40"/>
  <c r="H23" i="40"/>
  <c r="L19" i="40"/>
  <c r="H18" i="40"/>
  <c r="H17" i="40"/>
  <c r="H15" i="40"/>
  <c r="H14" i="40"/>
  <c r="H13" i="40"/>
  <c r="H12" i="40"/>
  <c r="I171" i="39"/>
  <c r="H171" i="39"/>
  <c r="F171" i="39"/>
  <c r="E171" i="39"/>
  <c r="D171" i="39"/>
  <c r="I166" i="39"/>
  <c r="H166" i="39"/>
  <c r="G166" i="39"/>
  <c r="G171" i="39" s="1"/>
  <c r="F166" i="39"/>
  <c r="E166" i="39"/>
  <c r="D166" i="39"/>
  <c r="C166" i="39"/>
  <c r="C171" i="39" s="1"/>
  <c r="G162" i="39"/>
  <c r="F162" i="39"/>
  <c r="E162" i="39"/>
  <c r="D162" i="39"/>
  <c r="L149" i="39"/>
  <c r="K149" i="39"/>
  <c r="J149" i="39"/>
  <c r="I149" i="39"/>
  <c r="H149" i="39"/>
  <c r="F149" i="39"/>
  <c r="E149" i="39"/>
  <c r="D149" i="39"/>
  <c r="G148" i="39"/>
  <c r="G147" i="39"/>
  <c r="G146" i="39"/>
  <c r="G145" i="39"/>
  <c r="G144" i="39"/>
  <c r="G143" i="39"/>
  <c r="G142" i="39"/>
  <c r="G149" i="39" s="1"/>
  <c r="O138" i="39"/>
  <c r="N138" i="39"/>
  <c r="M138" i="39"/>
  <c r="L138" i="39"/>
  <c r="K138" i="39"/>
  <c r="J138" i="39"/>
  <c r="I138" i="39"/>
  <c r="H138" i="39"/>
  <c r="F138" i="39"/>
  <c r="E138" i="39"/>
  <c r="D138" i="39"/>
  <c r="G137" i="39"/>
  <c r="G136" i="39"/>
  <c r="G135" i="39"/>
  <c r="G134" i="39"/>
  <c r="G133" i="39"/>
  <c r="G132" i="39"/>
  <c r="G131" i="39"/>
  <c r="G138" i="39" s="1"/>
  <c r="K125" i="39"/>
  <c r="I125" i="39"/>
  <c r="G125" i="39"/>
  <c r="E125" i="39"/>
  <c r="K124" i="39"/>
  <c r="J124" i="39"/>
  <c r="K123" i="39"/>
  <c r="J123" i="39"/>
  <c r="K122" i="39"/>
  <c r="J122" i="39"/>
  <c r="K121" i="39"/>
  <c r="J121" i="39"/>
  <c r="K120" i="39"/>
  <c r="J120" i="39"/>
  <c r="K119" i="39"/>
  <c r="J119" i="39"/>
  <c r="K118" i="39"/>
  <c r="J118" i="39"/>
  <c r="J125" i="39" s="1"/>
  <c r="J115" i="39"/>
  <c r="I115" i="39"/>
  <c r="H115" i="39"/>
  <c r="F115" i="39"/>
  <c r="E115" i="39"/>
  <c r="D115" i="39"/>
  <c r="G114" i="39"/>
  <c r="G113" i="39"/>
  <c r="G111" i="39"/>
  <c r="G110" i="39"/>
  <c r="G109" i="39"/>
  <c r="G108" i="39"/>
  <c r="G115" i="39" s="1"/>
  <c r="F102" i="39"/>
  <c r="E102" i="39"/>
  <c r="D102" i="39"/>
  <c r="G101" i="39"/>
  <c r="G100" i="39"/>
  <c r="G99" i="39"/>
  <c r="G98" i="39"/>
  <c r="G97" i="39"/>
  <c r="G96" i="39"/>
  <c r="G102" i="39" s="1"/>
  <c r="K92" i="39"/>
  <c r="J92" i="39"/>
  <c r="I92" i="39"/>
  <c r="H92" i="39"/>
  <c r="G92" i="39"/>
  <c r="F92" i="39"/>
  <c r="E92" i="39"/>
  <c r="D92" i="39"/>
  <c r="K81" i="39"/>
  <c r="J81" i="39"/>
  <c r="I81" i="39"/>
  <c r="H81" i="39"/>
  <c r="G81" i="39"/>
  <c r="F81" i="39"/>
  <c r="E81" i="39"/>
  <c r="D81" i="39"/>
  <c r="L70" i="39"/>
  <c r="K70" i="39"/>
  <c r="J70" i="39"/>
  <c r="I70" i="39"/>
  <c r="H70" i="39"/>
  <c r="G70" i="39"/>
  <c r="F70" i="39"/>
  <c r="E70" i="39"/>
  <c r="D70" i="39"/>
  <c r="K57" i="39"/>
  <c r="J57" i="39"/>
  <c r="I57" i="39"/>
  <c r="H57" i="39"/>
  <c r="G57" i="39"/>
  <c r="F57" i="39"/>
  <c r="E57" i="39"/>
  <c r="D57" i="39"/>
  <c r="K43" i="39"/>
  <c r="J43" i="39"/>
  <c r="I43" i="39"/>
  <c r="H43" i="39"/>
  <c r="G43" i="39"/>
  <c r="F43" i="39"/>
  <c r="E43" i="39"/>
  <c r="D43" i="39"/>
  <c r="G30" i="39"/>
  <c r="F30" i="39"/>
  <c r="D30" i="39"/>
  <c r="H30" i="39" s="1"/>
  <c r="H29" i="39"/>
  <c r="H28" i="39"/>
  <c r="E27" i="39"/>
  <c r="E30" i="39" s="1"/>
  <c r="H26" i="39"/>
  <c r="H25" i="39"/>
  <c r="H24" i="39"/>
  <c r="H23" i="39"/>
  <c r="N19" i="39"/>
  <c r="M19" i="39"/>
  <c r="L19" i="39"/>
  <c r="K19" i="39"/>
  <c r="I19" i="39"/>
  <c r="F19" i="39"/>
  <c r="D19" i="39"/>
  <c r="H18" i="39"/>
  <c r="H17" i="39"/>
  <c r="O16" i="39"/>
  <c r="O19" i="39" s="1"/>
  <c r="E16" i="39"/>
  <c r="E19" i="39" s="1"/>
  <c r="H19" i="39" s="1"/>
  <c r="H15" i="39"/>
  <c r="H14" i="39"/>
  <c r="H13" i="39"/>
  <c r="H12" i="39"/>
  <c r="G112" i="40" l="1"/>
  <c r="G115" i="40" s="1"/>
  <c r="H27" i="40"/>
  <c r="J122" i="40"/>
  <c r="H19" i="40"/>
  <c r="G146" i="40"/>
  <c r="G149" i="40" s="1"/>
  <c r="G166" i="40"/>
  <c r="G171" i="40" s="1"/>
  <c r="G135" i="40"/>
  <c r="G138" i="40" s="1"/>
  <c r="J125" i="40"/>
  <c r="K125" i="40"/>
  <c r="D30" i="40"/>
  <c r="H30" i="40" s="1"/>
  <c r="G102" i="40"/>
  <c r="H16" i="40"/>
  <c r="H27" i="39"/>
  <c r="H16" i="39"/>
  <c r="F171" i="32" l="1"/>
  <c r="I166" i="32"/>
  <c r="I171" i="32" s="1"/>
  <c r="H166" i="32"/>
  <c r="H171" i="32" s="1"/>
  <c r="G166" i="32"/>
  <c r="G171" i="32" s="1"/>
  <c r="F166" i="32"/>
  <c r="E166" i="32"/>
  <c r="E171" i="32" s="1"/>
  <c r="D166" i="32"/>
  <c r="D171" i="32" s="1"/>
  <c r="C166" i="32"/>
  <c r="C171" i="32" s="1"/>
  <c r="G162" i="32"/>
  <c r="F162" i="32"/>
  <c r="E162" i="32"/>
  <c r="D162" i="32"/>
  <c r="L149" i="32"/>
  <c r="K149" i="32"/>
  <c r="J149" i="32"/>
  <c r="I149" i="32"/>
  <c r="H149" i="32"/>
  <c r="F149" i="32"/>
  <c r="E149" i="32"/>
  <c r="D149" i="32"/>
  <c r="G148" i="32"/>
  <c r="G147" i="32"/>
  <c r="G146" i="32"/>
  <c r="G145" i="32"/>
  <c r="G144" i="32"/>
  <c r="G149" i="32" s="1"/>
  <c r="G143" i="32"/>
  <c r="G142" i="32"/>
  <c r="O138" i="32"/>
  <c r="N138" i="32"/>
  <c r="M138" i="32"/>
  <c r="L138" i="32"/>
  <c r="K138" i="32"/>
  <c r="J138" i="32"/>
  <c r="I138" i="32"/>
  <c r="H138" i="32"/>
  <c r="F138" i="32"/>
  <c r="E138" i="32"/>
  <c r="D138" i="32"/>
  <c r="G137" i="32"/>
  <c r="G136" i="32"/>
  <c r="G135" i="32"/>
  <c r="G134" i="32"/>
  <c r="G133" i="32"/>
  <c r="G132" i="32"/>
  <c r="G131" i="32"/>
  <c r="G138" i="32" s="1"/>
  <c r="I125" i="32"/>
  <c r="G125" i="32"/>
  <c r="E125" i="32"/>
  <c r="K124" i="32"/>
  <c r="J124" i="32"/>
  <c r="K123" i="32"/>
  <c r="J123" i="32"/>
  <c r="K122" i="32"/>
  <c r="J122" i="32"/>
  <c r="K121" i="32"/>
  <c r="J121" i="32"/>
  <c r="K120" i="32"/>
  <c r="J120" i="32"/>
  <c r="K119" i="32"/>
  <c r="J119" i="32"/>
  <c r="K118" i="32"/>
  <c r="K125" i="32" s="1"/>
  <c r="J118" i="32"/>
  <c r="J125" i="32" s="1"/>
  <c r="J115" i="32"/>
  <c r="I115" i="32"/>
  <c r="H115" i="32"/>
  <c r="F115" i="32"/>
  <c r="E115" i="32"/>
  <c r="D115" i="32"/>
  <c r="G114" i="32"/>
  <c r="G113" i="32"/>
  <c r="G112" i="32"/>
  <c r="G111" i="32"/>
  <c r="G110" i="32"/>
  <c r="G115" i="32" s="1"/>
  <c r="G109" i="32"/>
  <c r="G108" i="32"/>
  <c r="F102" i="32"/>
  <c r="E102" i="32"/>
  <c r="D102" i="32"/>
  <c r="G101" i="32"/>
  <c r="G100" i="32"/>
  <c r="G99" i="32"/>
  <c r="G98" i="32"/>
  <c r="G97" i="32"/>
  <c r="G96" i="32"/>
  <c r="K92" i="32"/>
  <c r="J92" i="32"/>
  <c r="I92" i="32"/>
  <c r="H92" i="32"/>
  <c r="G92" i="32"/>
  <c r="F92" i="32"/>
  <c r="E92" i="32"/>
  <c r="D92" i="32"/>
  <c r="K81" i="32"/>
  <c r="J81" i="32"/>
  <c r="I81" i="32"/>
  <c r="H81" i="32"/>
  <c r="G81" i="32"/>
  <c r="F81" i="32"/>
  <c r="E81" i="32"/>
  <c r="D81" i="32"/>
  <c r="L70" i="32"/>
  <c r="K70" i="32"/>
  <c r="J70" i="32"/>
  <c r="I70" i="32"/>
  <c r="H70" i="32"/>
  <c r="G70" i="32"/>
  <c r="F70" i="32"/>
  <c r="E70" i="32"/>
  <c r="D70" i="32"/>
  <c r="K57" i="32"/>
  <c r="J57" i="32"/>
  <c r="I57" i="32"/>
  <c r="H57" i="32"/>
  <c r="G57" i="32"/>
  <c r="F57" i="32"/>
  <c r="E57" i="32"/>
  <c r="D57" i="32"/>
  <c r="K43" i="32"/>
  <c r="J43" i="32"/>
  <c r="I43" i="32"/>
  <c r="H43" i="32"/>
  <c r="G43" i="32"/>
  <c r="F43" i="32"/>
  <c r="E43" i="32"/>
  <c r="D43" i="32"/>
  <c r="G30" i="32"/>
  <c r="F30" i="32"/>
  <c r="E30" i="32"/>
  <c r="D30" i="32"/>
  <c r="H30" i="32" s="1"/>
  <c r="H29" i="32"/>
  <c r="H28" i="32"/>
  <c r="H27" i="32"/>
  <c r="H26" i="32"/>
  <c r="H25" i="32"/>
  <c r="H24" i="32"/>
  <c r="H23" i="32"/>
  <c r="O19" i="32"/>
  <c r="N19" i="32"/>
  <c r="M19" i="32"/>
  <c r="L19" i="32"/>
  <c r="K19" i="32"/>
  <c r="I19" i="32"/>
  <c r="H19" i="32"/>
  <c r="F19" i="32"/>
  <c r="E19" i="32"/>
  <c r="D19" i="32"/>
  <c r="H18" i="32"/>
  <c r="H17" i="32"/>
  <c r="H16" i="32"/>
  <c r="H15" i="32"/>
  <c r="H14" i="32"/>
  <c r="H13" i="32"/>
  <c r="H12" i="32"/>
  <c r="G102" i="32" l="1"/>
  <c r="F171" i="30"/>
  <c r="I166" i="30"/>
  <c r="I171" i="30" s="1"/>
  <c r="H166" i="30"/>
  <c r="H171" i="30" s="1"/>
  <c r="G166" i="30"/>
  <c r="G171" i="30" s="1"/>
  <c r="F166" i="30"/>
  <c r="E166" i="30"/>
  <c r="E171" i="30" s="1"/>
  <c r="D166" i="30"/>
  <c r="D171" i="30" s="1"/>
  <c r="C166" i="30"/>
  <c r="C171" i="30" s="1"/>
  <c r="G162" i="30"/>
  <c r="F162" i="30"/>
  <c r="E162" i="30"/>
  <c r="D162" i="30"/>
  <c r="L149" i="30"/>
  <c r="K149" i="30"/>
  <c r="J149" i="30"/>
  <c r="I149" i="30"/>
  <c r="H149" i="30"/>
  <c r="F149" i="30"/>
  <c r="E149" i="30"/>
  <c r="D149" i="30"/>
  <c r="G148" i="30"/>
  <c r="G147" i="30"/>
  <c r="G146" i="30"/>
  <c r="G145" i="30"/>
  <c r="G144" i="30"/>
  <c r="G149" i="30" s="1"/>
  <c r="G143" i="30"/>
  <c r="G142" i="30"/>
  <c r="O138" i="30"/>
  <c r="N138" i="30"/>
  <c r="M138" i="30"/>
  <c r="L138" i="30"/>
  <c r="K138" i="30"/>
  <c r="J138" i="30"/>
  <c r="I138" i="30"/>
  <c r="H138" i="30"/>
  <c r="F138" i="30"/>
  <c r="E138" i="30"/>
  <c r="D138" i="30"/>
  <c r="G137" i="30"/>
  <c r="G136" i="30"/>
  <c r="G135" i="30"/>
  <c r="G134" i="30"/>
  <c r="G133" i="30"/>
  <c r="G132" i="30"/>
  <c r="G131" i="30"/>
  <c r="G138" i="30" s="1"/>
  <c r="I125" i="30"/>
  <c r="G125" i="30"/>
  <c r="E125" i="30"/>
  <c r="K124" i="30"/>
  <c r="J124" i="30"/>
  <c r="K123" i="30"/>
  <c r="J123" i="30"/>
  <c r="K122" i="30"/>
  <c r="J122" i="30"/>
  <c r="K121" i="30"/>
  <c r="J121" i="30"/>
  <c r="K120" i="30"/>
  <c r="J120" i="30"/>
  <c r="K119" i="30"/>
  <c r="J119" i="30"/>
  <c r="K118" i="30"/>
  <c r="K125" i="30" s="1"/>
  <c r="J118" i="30"/>
  <c r="J125" i="30" s="1"/>
  <c r="J115" i="30"/>
  <c r="I115" i="30"/>
  <c r="H115" i="30"/>
  <c r="F115" i="30"/>
  <c r="E115" i="30"/>
  <c r="D115" i="30"/>
  <c r="G114" i="30"/>
  <c r="G113" i="30"/>
  <c r="G112" i="30"/>
  <c r="G111" i="30"/>
  <c r="G110" i="30"/>
  <c r="G115" i="30" s="1"/>
  <c r="G109" i="30"/>
  <c r="G108" i="30"/>
  <c r="F102" i="30"/>
  <c r="E102" i="30"/>
  <c r="D102" i="30"/>
  <c r="G101" i="30"/>
  <c r="G100" i="30"/>
  <c r="G99" i="30"/>
  <c r="G98" i="30"/>
  <c r="G97" i="30"/>
  <c r="G96" i="30"/>
  <c r="G102" i="30" s="1"/>
  <c r="K92" i="30"/>
  <c r="J92" i="30"/>
  <c r="I92" i="30"/>
  <c r="H92" i="30"/>
  <c r="G92" i="30"/>
  <c r="F92" i="30"/>
  <c r="E92" i="30"/>
  <c r="D92" i="30"/>
  <c r="K81" i="30"/>
  <c r="J81" i="30"/>
  <c r="I81" i="30"/>
  <c r="H81" i="30"/>
  <c r="G81" i="30"/>
  <c r="F81" i="30"/>
  <c r="E81" i="30"/>
  <c r="D81" i="30"/>
  <c r="L70" i="30"/>
  <c r="K70" i="30"/>
  <c r="J70" i="30"/>
  <c r="I70" i="30"/>
  <c r="H70" i="30"/>
  <c r="G70" i="30"/>
  <c r="F70" i="30"/>
  <c r="E70" i="30"/>
  <c r="D70" i="30"/>
  <c r="K57" i="30"/>
  <c r="J57" i="30"/>
  <c r="I57" i="30"/>
  <c r="H57" i="30"/>
  <c r="G57" i="30"/>
  <c r="F57" i="30"/>
  <c r="E57" i="30"/>
  <c r="D57" i="30"/>
  <c r="K43" i="30"/>
  <c r="J43" i="30"/>
  <c r="I43" i="30"/>
  <c r="H43" i="30"/>
  <c r="G43" i="30"/>
  <c r="F43" i="30"/>
  <c r="E43" i="30"/>
  <c r="D43" i="30"/>
  <c r="G30" i="30"/>
  <c r="F30" i="30"/>
  <c r="E30" i="30"/>
  <c r="D30" i="30"/>
  <c r="H30" i="30" s="1"/>
  <c r="H29" i="30"/>
  <c r="H28" i="30"/>
  <c r="H27" i="30"/>
  <c r="H26" i="30"/>
  <c r="H25" i="30"/>
  <c r="H24" i="30"/>
  <c r="H23" i="30"/>
  <c r="O19" i="30"/>
  <c r="N19" i="30"/>
  <c r="M19" i="30"/>
  <c r="L19" i="30"/>
  <c r="K19" i="30"/>
  <c r="I19" i="30"/>
  <c r="H19" i="30"/>
  <c r="F19" i="30"/>
  <c r="E19" i="30"/>
  <c r="D19" i="30"/>
  <c r="H18" i="30"/>
  <c r="H17" i="30"/>
  <c r="H16" i="30"/>
  <c r="H15" i="30"/>
  <c r="H14" i="30"/>
  <c r="H13" i="30"/>
  <c r="H12" i="30"/>
  <c r="G167" i="21" l="1"/>
  <c r="G166" i="21" s="1"/>
  <c r="G171" i="21" s="1"/>
  <c r="I166" i="21"/>
  <c r="I171" i="21" s="1"/>
  <c r="H166" i="21"/>
  <c r="H171" i="21" s="1"/>
  <c r="F166" i="21"/>
  <c r="F171" i="21" s="1"/>
  <c r="E166" i="21"/>
  <c r="E171" i="21" s="1"/>
  <c r="D166" i="21"/>
  <c r="D171" i="21" s="1"/>
  <c r="C166" i="21"/>
  <c r="C171" i="21" s="1"/>
  <c r="G162" i="21"/>
  <c r="F162" i="21"/>
  <c r="E162" i="21"/>
  <c r="D162" i="21"/>
  <c r="L149" i="21"/>
  <c r="H149" i="21"/>
  <c r="D149" i="21"/>
  <c r="G148" i="21"/>
  <c r="G147" i="21"/>
  <c r="L146" i="21"/>
  <c r="K146" i="21"/>
  <c r="K149" i="21" s="1"/>
  <c r="J146" i="21"/>
  <c r="J149" i="21" s="1"/>
  <c r="I146" i="21"/>
  <c r="I149" i="21" s="1"/>
  <c r="F146" i="21"/>
  <c r="F149" i="21" s="1"/>
  <c r="E146" i="21"/>
  <c r="E149" i="21" s="1"/>
  <c r="D146" i="21"/>
  <c r="G146" i="21" s="1"/>
  <c r="G145" i="21"/>
  <c r="G144" i="21"/>
  <c r="G143" i="21"/>
  <c r="G142" i="21"/>
  <c r="O138" i="21"/>
  <c r="N138" i="21"/>
  <c r="M138" i="21"/>
  <c r="L138" i="21"/>
  <c r="K138" i="21"/>
  <c r="J138" i="21"/>
  <c r="I138" i="21"/>
  <c r="F138" i="21"/>
  <c r="E138" i="21"/>
  <c r="D138" i="21"/>
  <c r="G137" i="21"/>
  <c r="G136" i="21"/>
  <c r="H135" i="21"/>
  <c r="H138" i="21" s="1"/>
  <c r="G135" i="21"/>
  <c r="G134" i="21"/>
  <c r="G133" i="21"/>
  <c r="G132" i="21"/>
  <c r="G131" i="21"/>
  <c r="G138" i="21" s="1"/>
  <c r="J125" i="21"/>
  <c r="I125" i="21"/>
  <c r="G125" i="21"/>
  <c r="E125" i="21"/>
  <c r="K124" i="21"/>
  <c r="J124" i="21"/>
  <c r="K123" i="21"/>
  <c r="J123" i="21"/>
  <c r="K122" i="21"/>
  <c r="J122" i="21"/>
  <c r="K121" i="21"/>
  <c r="J121" i="21"/>
  <c r="K120" i="21"/>
  <c r="J120" i="21"/>
  <c r="K119" i="21"/>
  <c r="J119" i="21"/>
  <c r="K118" i="21"/>
  <c r="K125" i="21" s="1"/>
  <c r="J118" i="21"/>
  <c r="J115" i="21"/>
  <c r="I115" i="21"/>
  <c r="H115" i="21"/>
  <c r="F115" i="21"/>
  <c r="E115" i="21"/>
  <c r="D115" i="21"/>
  <c r="G114" i="21"/>
  <c r="G113" i="21"/>
  <c r="G112" i="21"/>
  <c r="G111" i="21"/>
  <c r="G110" i="21"/>
  <c r="G109" i="21"/>
  <c r="G108" i="21"/>
  <c r="G115" i="21" s="1"/>
  <c r="F102" i="21"/>
  <c r="E102" i="21"/>
  <c r="D102" i="21"/>
  <c r="G101" i="21"/>
  <c r="G100" i="21"/>
  <c r="G99" i="21"/>
  <c r="G98" i="21"/>
  <c r="G97" i="21"/>
  <c r="G102" i="21" s="1"/>
  <c r="G96" i="21"/>
  <c r="K92" i="21"/>
  <c r="J92" i="21"/>
  <c r="I92" i="21"/>
  <c r="H92" i="21"/>
  <c r="G92" i="21"/>
  <c r="F92" i="21"/>
  <c r="E92" i="21"/>
  <c r="D92" i="21"/>
  <c r="K81" i="21"/>
  <c r="J81" i="21"/>
  <c r="I81" i="21"/>
  <c r="H81" i="21"/>
  <c r="G81" i="21"/>
  <c r="F81" i="21"/>
  <c r="E81" i="21"/>
  <c r="D81" i="21"/>
  <c r="L70" i="21"/>
  <c r="K70" i="21"/>
  <c r="J70" i="21"/>
  <c r="I70" i="21"/>
  <c r="H70" i="21"/>
  <c r="G70" i="21"/>
  <c r="F70" i="21"/>
  <c r="E70" i="21"/>
  <c r="D70" i="21"/>
  <c r="K57" i="21"/>
  <c r="J57" i="21"/>
  <c r="I57" i="21"/>
  <c r="H57" i="21"/>
  <c r="G57" i="21"/>
  <c r="F57" i="21"/>
  <c r="E57" i="21"/>
  <c r="D57" i="21"/>
  <c r="K43" i="21"/>
  <c r="J43" i="21"/>
  <c r="I43" i="21"/>
  <c r="H43" i="21"/>
  <c r="G43" i="21"/>
  <c r="F43" i="21"/>
  <c r="E43" i="21"/>
  <c r="D43" i="21"/>
  <c r="G30" i="21"/>
  <c r="F30" i="21"/>
  <c r="E30" i="21"/>
  <c r="H29" i="21"/>
  <c r="H28" i="21"/>
  <c r="D27" i="21"/>
  <c r="H27" i="21" s="1"/>
  <c r="H26" i="21"/>
  <c r="H25" i="21"/>
  <c r="H24" i="21"/>
  <c r="H23" i="21"/>
  <c r="O19" i="21"/>
  <c r="N19" i="21"/>
  <c r="M19" i="21"/>
  <c r="L19" i="21"/>
  <c r="K19" i="21"/>
  <c r="I19" i="21"/>
  <c r="F19" i="21"/>
  <c r="E19" i="21"/>
  <c r="H19" i="21" s="1"/>
  <c r="D19" i="21"/>
  <c r="H18" i="21"/>
  <c r="H17" i="21"/>
  <c r="H16" i="21"/>
  <c r="H15" i="21"/>
  <c r="H14" i="21"/>
  <c r="H13" i="21"/>
  <c r="H12" i="21"/>
  <c r="G149" i="21" l="1"/>
  <c r="D30" i="21"/>
  <c r="H30" i="21" s="1"/>
  <c r="G171" i="2" l="1"/>
  <c r="F171" i="2"/>
  <c r="C171" i="2"/>
  <c r="I166" i="2"/>
  <c r="I171" i="2" s="1"/>
  <c r="H166" i="2"/>
  <c r="H171" i="2" s="1"/>
  <c r="G166" i="2"/>
  <c r="F166" i="2"/>
  <c r="E166" i="2"/>
  <c r="E171" i="2" s="1"/>
  <c r="D166" i="2"/>
  <c r="D171" i="2" s="1"/>
  <c r="C166" i="2"/>
  <c r="G162" i="2"/>
  <c r="F162" i="2"/>
  <c r="E162" i="2"/>
  <c r="D162" i="2"/>
  <c r="L149" i="2"/>
  <c r="K149" i="2"/>
  <c r="I149" i="2"/>
  <c r="H149" i="2"/>
  <c r="F149" i="2"/>
  <c r="E149" i="2"/>
  <c r="D149" i="2"/>
  <c r="G148" i="2"/>
  <c r="G147" i="2"/>
  <c r="L146" i="2"/>
  <c r="K146" i="2"/>
  <c r="J146" i="2"/>
  <c r="J149" i="2" s="1"/>
  <c r="G146" i="2"/>
  <c r="G145" i="2"/>
  <c r="G144" i="2"/>
  <c r="G143" i="2"/>
  <c r="G149" i="2" s="1"/>
  <c r="G142" i="2"/>
  <c r="O138" i="2"/>
  <c r="N138" i="2"/>
  <c r="M138" i="2"/>
  <c r="L138" i="2"/>
  <c r="K138" i="2"/>
  <c r="J138" i="2"/>
  <c r="I138" i="2"/>
  <c r="H138" i="2"/>
  <c r="F138" i="2"/>
  <c r="E138" i="2"/>
  <c r="D138" i="2"/>
  <c r="G137" i="2"/>
  <c r="G136" i="2"/>
  <c r="G135" i="2"/>
  <c r="G134" i="2"/>
  <c r="G133" i="2"/>
  <c r="G132" i="2"/>
  <c r="G131" i="2"/>
  <c r="G138" i="2" s="1"/>
  <c r="I125" i="2"/>
  <c r="G125" i="2"/>
  <c r="E125" i="2"/>
  <c r="K124" i="2"/>
  <c r="J124" i="2"/>
  <c r="K123" i="2"/>
  <c r="J123" i="2"/>
  <c r="K122" i="2"/>
  <c r="J122" i="2"/>
  <c r="K121" i="2"/>
  <c r="J121" i="2"/>
  <c r="K120" i="2"/>
  <c r="J120" i="2"/>
  <c r="K119" i="2"/>
  <c r="J119" i="2"/>
  <c r="K118" i="2"/>
  <c r="K125" i="2" s="1"/>
  <c r="J118" i="2"/>
  <c r="J125" i="2" s="1"/>
  <c r="J115" i="2"/>
  <c r="I115" i="2"/>
  <c r="H115" i="2"/>
  <c r="F115" i="2"/>
  <c r="E115" i="2"/>
  <c r="D115" i="2"/>
  <c r="G114" i="2"/>
  <c r="G113" i="2"/>
  <c r="G112" i="2"/>
  <c r="G111" i="2"/>
  <c r="G110" i="2"/>
  <c r="G109" i="2"/>
  <c r="G115" i="2" s="1"/>
  <c r="G108" i="2"/>
  <c r="F102" i="2"/>
  <c r="E102" i="2"/>
  <c r="D102" i="2"/>
  <c r="G101" i="2"/>
  <c r="G100" i="2"/>
  <c r="G99" i="2"/>
  <c r="G98" i="2"/>
  <c r="G97" i="2"/>
  <c r="G96" i="2"/>
  <c r="G102" i="2" s="1"/>
  <c r="K92" i="2"/>
  <c r="J92" i="2"/>
  <c r="I92" i="2"/>
  <c r="H92" i="2"/>
  <c r="G92" i="2"/>
  <c r="F92" i="2"/>
  <c r="E92" i="2"/>
  <c r="D92" i="2"/>
  <c r="K81" i="2"/>
  <c r="J81" i="2"/>
  <c r="I81" i="2"/>
  <c r="H81" i="2"/>
  <c r="G81" i="2"/>
  <c r="F81" i="2"/>
  <c r="E81" i="2"/>
  <c r="D81" i="2"/>
  <c r="L70" i="2"/>
  <c r="K70" i="2"/>
  <c r="J70" i="2"/>
  <c r="I70" i="2"/>
  <c r="H70" i="2"/>
  <c r="G70" i="2"/>
  <c r="F70" i="2"/>
  <c r="E70" i="2"/>
  <c r="D70" i="2"/>
  <c r="K57" i="2"/>
  <c r="J57" i="2"/>
  <c r="I57" i="2"/>
  <c r="H57" i="2"/>
  <c r="G57" i="2"/>
  <c r="F57" i="2"/>
  <c r="E57" i="2"/>
  <c r="D57" i="2"/>
  <c r="K43" i="2"/>
  <c r="J43" i="2"/>
  <c r="I43" i="2"/>
  <c r="H43" i="2"/>
  <c r="G43" i="2"/>
  <c r="F43" i="2"/>
  <c r="E43" i="2"/>
  <c r="D43" i="2"/>
  <c r="G30" i="2"/>
  <c r="F30" i="2"/>
  <c r="E30" i="2"/>
  <c r="D30" i="2"/>
  <c r="H30" i="2" s="1"/>
  <c r="H29" i="2"/>
  <c r="H28" i="2"/>
  <c r="H27" i="2"/>
  <c r="H26" i="2"/>
  <c r="H25" i="2"/>
  <c r="H24" i="2"/>
  <c r="H23" i="2"/>
  <c r="O19" i="2"/>
  <c r="N19" i="2"/>
  <c r="M19" i="2"/>
  <c r="L19" i="2"/>
  <c r="K19" i="2"/>
  <c r="F19" i="2"/>
  <c r="H19" i="2" s="1"/>
  <c r="E19" i="2"/>
  <c r="D19" i="2"/>
  <c r="H18" i="2"/>
  <c r="H17" i="2"/>
  <c r="I16" i="2"/>
  <c r="I19" i="2" s="1"/>
  <c r="H16" i="2"/>
  <c r="H15" i="2"/>
  <c r="H14" i="2"/>
  <c r="H13" i="2"/>
  <c r="H12" i="2"/>
  <c r="F171" i="16" l="1"/>
  <c r="I166" i="16"/>
  <c r="I171" i="16" s="1"/>
  <c r="H166" i="16"/>
  <c r="H171" i="16" s="1"/>
  <c r="G166" i="16"/>
  <c r="G171" i="16" s="1"/>
  <c r="F166" i="16"/>
  <c r="E166" i="16"/>
  <c r="E171" i="16" s="1"/>
  <c r="D166" i="16"/>
  <c r="D171" i="16" s="1"/>
  <c r="C166" i="16"/>
  <c r="C171" i="16" s="1"/>
  <c r="G162" i="16"/>
  <c r="F162" i="16"/>
  <c r="E162" i="16"/>
  <c r="D162" i="16"/>
  <c r="L149" i="16"/>
  <c r="K149" i="16"/>
  <c r="J149" i="16"/>
  <c r="I149" i="16"/>
  <c r="H149" i="16"/>
  <c r="F149" i="16"/>
  <c r="E149" i="16"/>
  <c r="D149" i="16"/>
  <c r="G148" i="16"/>
  <c r="G147" i="16"/>
  <c r="G146" i="16"/>
  <c r="G145" i="16"/>
  <c r="G144" i="16"/>
  <c r="G149" i="16" s="1"/>
  <c r="G143" i="16"/>
  <c r="G142" i="16"/>
  <c r="O138" i="16"/>
  <c r="N138" i="16"/>
  <c r="M138" i="16"/>
  <c r="L138" i="16"/>
  <c r="K138" i="16"/>
  <c r="J138" i="16"/>
  <c r="I138" i="16"/>
  <c r="H138" i="16"/>
  <c r="F138" i="16"/>
  <c r="E138" i="16"/>
  <c r="D138" i="16"/>
  <c r="G137" i="16"/>
  <c r="G136" i="16"/>
  <c r="G135" i="16"/>
  <c r="G134" i="16"/>
  <c r="G133" i="16"/>
  <c r="G132" i="16"/>
  <c r="G131" i="16"/>
  <c r="G138" i="16" s="1"/>
  <c r="I125" i="16"/>
  <c r="G125" i="16"/>
  <c r="E125" i="16"/>
  <c r="K124" i="16"/>
  <c r="J124" i="16"/>
  <c r="K123" i="16"/>
  <c r="J123" i="16"/>
  <c r="K122" i="16"/>
  <c r="J122" i="16"/>
  <c r="K121" i="16"/>
  <c r="J121" i="16"/>
  <c r="K120" i="16"/>
  <c r="J120" i="16"/>
  <c r="K119" i="16"/>
  <c r="J119" i="16"/>
  <c r="K118" i="16"/>
  <c r="K125" i="16" s="1"/>
  <c r="J118" i="16"/>
  <c r="J125" i="16" s="1"/>
  <c r="J115" i="16"/>
  <c r="I115" i="16"/>
  <c r="H115" i="16"/>
  <c r="F115" i="16"/>
  <c r="E115" i="16"/>
  <c r="D115" i="16"/>
  <c r="G114" i="16"/>
  <c r="G113" i="16"/>
  <c r="G112" i="16"/>
  <c r="G111" i="16"/>
  <c r="G110" i="16"/>
  <c r="G115" i="16" s="1"/>
  <c r="G109" i="16"/>
  <c r="G108" i="16"/>
  <c r="F102" i="16"/>
  <c r="E102" i="16"/>
  <c r="D102" i="16"/>
  <c r="G101" i="16"/>
  <c r="G100" i="16"/>
  <c r="G99" i="16"/>
  <c r="G98" i="16"/>
  <c r="G97" i="16"/>
  <c r="G96" i="16"/>
  <c r="G102" i="16" s="1"/>
  <c r="K92" i="16"/>
  <c r="J92" i="16"/>
  <c r="I92" i="16"/>
  <c r="H92" i="16"/>
  <c r="G92" i="16"/>
  <c r="F92" i="16"/>
  <c r="E92" i="16"/>
  <c r="D92" i="16"/>
  <c r="K81" i="16"/>
  <c r="J81" i="16"/>
  <c r="I81" i="16"/>
  <c r="H81" i="16"/>
  <c r="G81" i="16"/>
  <c r="F81" i="16"/>
  <c r="E81" i="16"/>
  <c r="D81" i="16"/>
  <c r="L70" i="16"/>
  <c r="K70" i="16"/>
  <c r="J70" i="16"/>
  <c r="I70" i="16"/>
  <c r="H70" i="16"/>
  <c r="G70" i="16"/>
  <c r="F70" i="16"/>
  <c r="E70" i="16"/>
  <c r="D70" i="16"/>
  <c r="K57" i="16"/>
  <c r="J57" i="16"/>
  <c r="I57" i="16"/>
  <c r="H57" i="16"/>
  <c r="G57" i="16"/>
  <c r="F57" i="16"/>
  <c r="E57" i="16"/>
  <c r="D57" i="16"/>
  <c r="K43" i="16"/>
  <c r="J43" i="16"/>
  <c r="I43" i="16"/>
  <c r="H43" i="16"/>
  <c r="G43" i="16"/>
  <c r="F43" i="16"/>
  <c r="E43" i="16"/>
  <c r="D43" i="16"/>
  <c r="G30" i="16"/>
  <c r="F30" i="16"/>
  <c r="E30" i="16"/>
  <c r="D30" i="16"/>
  <c r="H30" i="16" s="1"/>
  <c r="H29" i="16"/>
  <c r="H28" i="16"/>
  <c r="H27" i="16"/>
  <c r="H26" i="16"/>
  <c r="H25" i="16"/>
  <c r="H24" i="16"/>
  <c r="H23" i="16"/>
  <c r="O19" i="16"/>
  <c r="N19" i="16"/>
  <c r="M19" i="16"/>
  <c r="L19" i="16"/>
  <c r="K19" i="16"/>
  <c r="I19" i="16"/>
  <c r="H19" i="16"/>
  <c r="F19" i="16"/>
  <c r="E19" i="16"/>
  <c r="D19" i="16"/>
  <c r="H18" i="16"/>
  <c r="H17" i="16"/>
  <c r="H16" i="16"/>
  <c r="H15" i="16"/>
  <c r="H14" i="16"/>
  <c r="H13" i="16"/>
  <c r="H12" i="16"/>
  <c r="G171" i="4" l="1"/>
  <c r="F171" i="4"/>
  <c r="C171" i="4"/>
  <c r="I166" i="4"/>
  <c r="I171" i="4" s="1"/>
  <c r="H166" i="4"/>
  <c r="H171" i="4" s="1"/>
  <c r="G166" i="4"/>
  <c r="F166" i="4"/>
  <c r="E166" i="4"/>
  <c r="E171" i="4" s="1"/>
  <c r="D166" i="4"/>
  <c r="D171" i="4" s="1"/>
  <c r="C166" i="4"/>
  <c r="G162" i="4"/>
  <c r="F162" i="4"/>
  <c r="E162" i="4"/>
  <c r="D162" i="4"/>
  <c r="L149" i="4"/>
  <c r="K149" i="4"/>
  <c r="J149" i="4"/>
  <c r="I149" i="4"/>
  <c r="H149" i="4"/>
  <c r="F149" i="4"/>
  <c r="E149" i="4"/>
  <c r="D149" i="4"/>
  <c r="G148" i="4"/>
  <c r="G147" i="4"/>
  <c r="G146" i="4"/>
  <c r="G145" i="4"/>
  <c r="G144" i="4"/>
  <c r="G149" i="4" s="1"/>
  <c r="G143" i="4"/>
  <c r="G142" i="4"/>
  <c r="O138" i="4"/>
  <c r="N138" i="4"/>
  <c r="M138" i="4"/>
  <c r="L138" i="4"/>
  <c r="K138" i="4"/>
  <c r="J138" i="4"/>
  <c r="I138" i="4"/>
  <c r="H138" i="4"/>
  <c r="F138" i="4"/>
  <c r="E138" i="4"/>
  <c r="D138" i="4"/>
  <c r="G137" i="4"/>
  <c r="G136" i="4"/>
  <c r="G135" i="4"/>
  <c r="G134" i="4"/>
  <c r="G133" i="4"/>
  <c r="G132" i="4"/>
  <c r="G138" i="4" s="1"/>
  <c r="G131" i="4"/>
  <c r="I125" i="4"/>
  <c r="G125" i="4"/>
  <c r="E125" i="4"/>
  <c r="K124" i="4"/>
  <c r="J124" i="4"/>
  <c r="K123" i="4"/>
  <c r="J123" i="4"/>
  <c r="K122" i="4"/>
  <c r="J122" i="4"/>
  <c r="K121" i="4"/>
  <c r="J121" i="4"/>
  <c r="K120" i="4"/>
  <c r="J120" i="4"/>
  <c r="K119" i="4"/>
  <c r="J119" i="4"/>
  <c r="K118" i="4"/>
  <c r="K125" i="4" s="1"/>
  <c r="J118" i="4"/>
  <c r="J125" i="4" s="1"/>
  <c r="J115" i="4"/>
  <c r="I115" i="4"/>
  <c r="H115" i="4"/>
  <c r="F115" i="4"/>
  <c r="E115" i="4"/>
  <c r="D115" i="4"/>
  <c r="G114" i="4"/>
  <c r="G113" i="4"/>
  <c r="G112" i="4"/>
  <c r="G111" i="4"/>
  <c r="G110" i="4"/>
  <c r="G115" i="4" s="1"/>
  <c r="G109" i="4"/>
  <c r="G108" i="4"/>
  <c r="F102" i="4"/>
  <c r="E102" i="4"/>
  <c r="D102" i="4"/>
  <c r="G101" i="4"/>
  <c r="G100" i="4"/>
  <c r="G99" i="4"/>
  <c r="G98" i="4"/>
  <c r="G97" i="4"/>
  <c r="G96" i="4"/>
  <c r="G102" i="4" s="1"/>
  <c r="K92" i="4"/>
  <c r="J92" i="4"/>
  <c r="I92" i="4"/>
  <c r="H92" i="4"/>
  <c r="G92" i="4"/>
  <c r="F92" i="4"/>
  <c r="E92" i="4"/>
  <c r="D92" i="4"/>
  <c r="K81" i="4"/>
  <c r="J81" i="4"/>
  <c r="I81" i="4"/>
  <c r="H81" i="4"/>
  <c r="G81" i="4"/>
  <c r="F81" i="4"/>
  <c r="E81" i="4"/>
  <c r="D81" i="4"/>
  <c r="L70" i="4"/>
  <c r="K70" i="4"/>
  <c r="J70" i="4"/>
  <c r="I70" i="4"/>
  <c r="H70" i="4"/>
  <c r="G70" i="4"/>
  <c r="F70" i="4"/>
  <c r="E70" i="4"/>
  <c r="D70" i="4"/>
  <c r="K57" i="4"/>
  <c r="J57" i="4"/>
  <c r="I57" i="4"/>
  <c r="H57" i="4"/>
  <c r="G57" i="4"/>
  <c r="F57" i="4"/>
  <c r="E57" i="4"/>
  <c r="D57" i="4"/>
  <c r="K43" i="4"/>
  <c r="J43" i="4"/>
  <c r="I43" i="4"/>
  <c r="H43" i="4"/>
  <c r="G43" i="4"/>
  <c r="F43" i="4"/>
  <c r="E43" i="4"/>
  <c r="D43" i="4"/>
  <c r="G30" i="4"/>
  <c r="F30" i="4"/>
  <c r="E30" i="4"/>
  <c r="D30" i="4"/>
  <c r="H30" i="4" s="1"/>
  <c r="H29" i="4"/>
  <c r="H28" i="4"/>
  <c r="H27" i="4"/>
  <c r="H26" i="4"/>
  <c r="H25" i="4"/>
  <c r="H24" i="4"/>
  <c r="H23" i="4"/>
  <c r="H19" i="4"/>
  <c r="H16" i="4"/>
  <c r="H13" i="4"/>
  <c r="H12" i="4"/>
  <c r="F171" i="15" l="1"/>
  <c r="I166" i="15"/>
  <c r="I171" i="15" s="1"/>
  <c r="H166" i="15"/>
  <c r="H171" i="15" s="1"/>
  <c r="G166" i="15"/>
  <c r="G171" i="15" s="1"/>
  <c r="F166" i="15"/>
  <c r="E166" i="15"/>
  <c r="E171" i="15" s="1"/>
  <c r="D166" i="15"/>
  <c r="D171" i="15" s="1"/>
  <c r="C166" i="15"/>
  <c r="C171" i="15" s="1"/>
  <c r="G162" i="15"/>
  <c r="F162" i="15"/>
  <c r="E162" i="15"/>
  <c r="D162" i="15"/>
  <c r="L149" i="15"/>
  <c r="K149" i="15"/>
  <c r="J149" i="15"/>
  <c r="I149" i="15"/>
  <c r="H149" i="15"/>
  <c r="F149" i="15"/>
  <c r="E149" i="15"/>
  <c r="D149" i="15"/>
  <c r="G148" i="15"/>
  <c r="G147" i="15"/>
  <c r="G146" i="15"/>
  <c r="G145" i="15"/>
  <c r="G144" i="15"/>
  <c r="G149" i="15" s="1"/>
  <c r="G143" i="15"/>
  <c r="G142" i="15"/>
  <c r="O138" i="15"/>
  <c r="N138" i="15"/>
  <c r="M138" i="15"/>
  <c r="L138" i="15"/>
  <c r="K138" i="15"/>
  <c r="J138" i="15"/>
  <c r="I138" i="15"/>
  <c r="H138" i="15"/>
  <c r="F138" i="15"/>
  <c r="E138" i="15"/>
  <c r="D138" i="15"/>
  <c r="G137" i="15"/>
  <c r="G136" i="15"/>
  <c r="G135" i="15"/>
  <c r="G134" i="15"/>
  <c r="G133" i="15"/>
  <c r="G132" i="15"/>
  <c r="G131" i="15"/>
  <c r="G138" i="15" s="1"/>
  <c r="I125" i="15"/>
  <c r="G125" i="15"/>
  <c r="E125" i="15"/>
  <c r="K124" i="15"/>
  <c r="J124" i="15"/>
  <c r="K123" i="15"/>
  <c r="J123" i="15"/>
  <c r="K122" i="15"/>
  <c r="J122" i="15"/>
  <c r="K121" i="15"/>
  <c r="J121" i="15"/>
  <c r="K120" i="15"/>
  <c r="J120" i="15"/>
  <c r="K119" i="15"/>
  <c r="J119" i="15"/>
  <c r="K118" i="15"/>
  <c r="K125" i="15" s="1"/>
  <c r="J118" i="15"/>
  <c r="J125" i="15" s="1"/>
  <c r="J115" i="15"/>
  <c r="I115" i="15"/>
  <c r="H115" i="15"/>
  <c r="F115" i="15"/>
  <c r="E115" i="15"/>
  <c r="D115" i="15"/>
  <c r="G114" i="15"/>
  <c r="G113" i="15"/>
  <c r="G112" i="15"/>
  <c r="G111" i="15"/>
  <c r="G110" i="15"/>
  <c r="G115" i="15" s="1"/>
  <c r="G109" i="15"/>
  <c r="G108" i="15"/>
  <c r="F102" i="15"/>
  <c r="E102" i="15"/>
  <c r="D102" i="15"/>
  <c r="G101" i="15"/>
  <c r="G100" i="15"/>
  <c r="G99" i="15"/>
  <c r="G98" i="15"/>
  <c r="G97" i="15"/>
  <c r="G96" i="15"/>
  <c r="G102" i="15" s="1"/>
  <c r="K92" i="15"/>
  <c r="J92" i="15"/>
  <c r="I92" i="15"/>
  <c r="H92" i="15"/>
  <c r="G92" i="15"/>
  <c r="F92" i="15"/>
  <c r="E92" i="15"/>
  <c r="D92" i="15"/>
  <c r="K81" i="15"/>
  <c r="J81" i="15"/>
  <c r="I81" i="15"/>
  <c r="H81" i="15"/>
  <c r="G81" i="15"/>
  <c r="F81" i="15"/>
  <c r="E81" i="15"/>
  <c r="D81" i="15"/>
  <c r="L70" i="15"/>
  <c r="K70" i="15"/>
  <c r="J70" i="15"/>
  <c r="I70" i="15"/>
  <c r="H70" i="15"/>
  <c r="G70" i="15"/>
  <c r="F70" i="15"/>
  <c r="E70" i="15"/>
  <c r="D70" i="15"/>
  <c r="K57" i="15"/>
  <c r="J57" i="15"/>
  <c r="I57" i="15"/>
  <c r="H57" i="15"/>
  <c r="G57" i="15"/>
  <c r="F57" i="15"/>
  <c r="E57" i="15"/>
  <c r="D57" i="15"/>
  <c r="K43" i="15"/>
  <c r="J43" i="15"/>
  <c r="I43" i="15"/>
  <c r="H43" i="15"/>
  <c r="G43" i="15"/>
  <c r="F43" i="15"/>
  <c r="E43" i="15"/>
  <c r="D43" i="15"/>
  <c r="G30" i="15"/>
  <c r="F30" i="15"/>
  <c r="E30" i="15"/>
  <c r="D30" i="15"/>
  <c r="H30" i="15" s="1"/>
  <c r="H29" i="15"/>
  <c r="H28" i="15"/>
  <c r="H27" i="15"/>
  <c r="H26" i="15"/>
  <c r="H25" i="15"/>
  <c r="H24" i="15"/>
  <c r="H23" i="15"/>
  <c r="O19" i="15"/>
  <c r="N19" i="15"/>
  <c r="M19" i="15"/>
  <c r="L19" i="15"/>
  <c r="K19" i="15"/>
  <c r="I19" i="15"/>
  <c r="H19" i="15"/>
  <c r="F19" i="15"/>
  <c r="E19" i="15"/>
  <c r="D19" i="15"/>
  <c r="H18" i="15"/>
  <c r="H17" i="15"/>
  <c r="H16" i="15"/>
  <c r="H15" i="15"/>
  <c r="H14" i="15"/>
  <c r="H13" i="15"/>
  <c r="H12" i="15"/>
  <c r="F171" i="20" l="1"/>
  <c r="C171" i="20"/>
  <c r="G169" i="20"/>
  <c r="G166" i="20" s="1"/>
  <c r="G171" i="20" s="1"/>
  <c r="G168" i="20"/>
  <c r="G167" i="20"/>
  <c r="I166" i="20"/>
  <c r="I171" i="20" s="1"/>
  <c r="H166" i="20"/>
  <c r="H171" i="20" s="1"/>
  <c r="F166" i="20"/>
  <c r="E166" i="20"/>
  <c r="E171" i="20" s="1"/>
  <c r="D166" i="20"/>
  <c r="D171" i="20" s="1"/>
  <c r="C166" i="20"/>
  <c r="G162" i="20"/>
  <c r="F162" i="20"/>
  <c r="E162" i="20"/>
  <c r="D162" i="20"/>
  <c r="L149" i="20"/>
  <c r="J149" i="20"/>
  <c r="I149" i="20"/>
  <c r="F149" i="20"/>
  <c r="E149" i="20"/>
  <c r="G148" i="20"/>
  <c r="G147" i="20"/>
  <c r="J146" i="20"/>
  <c r="H146" i="20"/>
  <c r="H149" i="20" s="1"/>
  <c r="G146" i="20"/>
  <c r="K146" i="20" s="1"/>
  <c r="K149" i="20" s="1"/>
  <c r="D146" i="20"/>
  <c r="D149" i="20" s="1"/>
  <c r="G145" i="20"/>
  <c r="G144" i="20"/>
  <c r="G143" i="20"/>
  <c r="G149" i="20" s="1"/>
  <c r="G142" i="20"/>
  <c r="O138" i="20"/>
  <c r="N138" i="20"/>
  <c r="M138" i="20"/>
  <c r="L138" i="20"/>
  <c r="K138" i="20"/>
  <c r="J138" i="20"/>
  <c r="I138" i="20"/>
  <c r="H138" i="20"/>
  <c r="F138" i="20"/>
  <c r="E138" i="20"/>
  <c r="D138" i="20"/>
  <c r="G137" i="20"/>
  <c r="G136" i="20"/>
  <c r="G135" i="20"/>
  <c r="G134" i="20"/>
  <c r="G133" i="20"/>
  <c r="G132" i="20"/>
  <c r="G131" i="20"/>
  <c r="G138" i="20" s="1"/>
  <c r="I125" i="20"/>
  <c r="G125" i="20"/>
  <c r="E125" i="20"/>
  <c r="K124" i="20"/>
  <c r="J124" i="20"/>
  <c r="K123" i="20"/>
  <c r="J123" i="20"/>
  <c r="K122" i="20"/>
  <c r="J122" i="20"/>
  <c r="K121" i="20"/>
  <c r="J121" i="20"/>
  <c r="K120" i="20"/>
  <c r="J120" i="20"/>
  <c r="K119" i="20"/>
  <c r="K125" i="20" s="1"/>
  <c r="J119" i="20"/>
  <c r="K118" i="20"/>
  <c r="J118" i="20"/>
  <c r="J125" i="20" s="1"/>
  <c r="J115" i="20"/>
  <c r="I115" i="20"/>
  <c r="H115" i="20"/>
  <c r="F115" i="20"/>
  <c r="E115" i="20"/>
  <c r="D115" i="20"/>
  <c r="G114" i="20"/>
  <c r="G113" i="20"/>
  <c r="G112" i="20"/>
  <c r="G111" i="20"/>
  <c r="G110" i="20"/>
  <c r="G109" i="20"/>
  <c r="G115" i="20" s="1"/>
  <c r="G108" i="20"/>
  <c r="F102" i="20"/>
  <c r="E102" i="20"/>
  <c r="D102" i="20"/>
  <c r="G101" i="20"/>
  <c r="G100" i="20"/>
  <c r="G99" i="20"/>
  <c r="G98" i="20"/>
  <c r="G97" i="20"/>
  <c r="G96" i="20"/>
  <c r="G102" i="20" s="1"/>
  <c r="K92" i="20"/>
  <c r="J92" i="20"/>
  <c r="I92" i="20"/>
  <c r="H92" i="20"/>
  <c r="G92" i="20"/>
  <c r="F92" i="20"/>
  <c r="E92" i="20"/>
  <c r="D92" i="20"/>
  <c r="K81" i="20"/>
  <c r="J81" i="20"/>
  <c r="I81" i="20"/>
  <c r="H81" i="20"/>
  <c r="G81" i="20"/>
  <c r="F81" i="20"/>
  <c r="E81" i="20"/>
  <c r="D81" i="20"/>
  <c r="L70" i="20"/>
  <c r="K70" i="20"/>
  <c r="J70" i="20"/>
  <c r="I70" i="20"/>
  <c r="H70" i="20"/>
  <c r="G70" i="20"/>
  <c r="F70" i="20"/>
  <c r="E70" i="20"/>
  <c r="D70" i="20"/>
  <c r="K57" i="20"/>
  <c r="J57" i="20"/>
  <c r="I57" i="20"/>
  <c r="H57" i="20"/>
  <c r="G57" i="20"/>
  <c r="F57" i="20"/>
  <c r="E57" i="20"/>
  <c r="D57" i="20"/>
  <c r="K43" i="20"/>
  <c r="J43" i="20"/>
  <c r="I43" i="20"/>
  <c r="H43" i="20"/>
  <c r="G43" i="20"/>
  <c r="F43" i="20"/>
  <c r="E43" i="20"/>
  <c r="D43" i="20"/>
  <c r="G30" i="20"/>
  <c r="F30" i="20"/>
  <c r="E30" i="20"/>
  <c r="D30" i="20"/>
  <c r="H30" i="20" s="1"/>
  <c r="H29" i="20"/>
  <c r="H28" i="20"/>
  <c r="H27" i="20"/>
  <c r="E27" i="20"/>
  <c r="H26" i="20"/>
  <c r="H25" i="20"/>
  <c r="H24" i="20"/>
  <c r="H23" i="20"/>
  <c r="O19" i="20"/>
  <c r="N19" i="20"/>
  <c r="M19" i="20"/>
  <c r="L19" i="20"/>
  <c r="K19" i="20"/>
  <c r="I19" i="20"/>
  <c r="H19" i="20"/>
  <c r="F19" i="20"/>
  <c r="E19" i="20"/>
  <c r="D19" i="20"/>
  <c r="H18" i="20"/>
  <c r="H17" i="20"/>
  <c r="H16" i="20"/>
  <c r="H15" i="20"/>
  <c r="H14" i="20"/>
  <c r="H13" i="20"/>
  <c r="H12" i="20"/>
  <c r="G171" i="22" l="1"/>
  <c r="F171" i="22"/>
  <c r="C171" i="22"/>
  <c r="I166" i="22"/>
  <c r="I171" i="22" s="1"/>
  <c r="H166" i="22"/>
  <c r="H171" i="22" s="1"/>
  <c r="F166" i="22"/>
  <c r="E166" i="22"/>
  <c r="E171" i="22" s="1"/>
  <c r="D166" i="22"/>
  <c r="D171" i="22" s="1"/>
  <c r="C166" i="22"/>
  <c r="G162" i="22"/>
  <c r="F162" i="22"/>
  <c r="E162" i="22"/>
  <c r="D162" i="22"/>
  <c r="L149" i="22"/>
  <c r="K149" i="22"/>
  <c r="J149" i="22"/>
  <c r="I149" i="22"/>
  <c r="H149" i="22"/>
  <c r="F149" i="22"/>
  <c r="E149" i="22"/>
  <c r="D149" i="22"/>
  <c r="G148" i="22"/>
  <c r="G147" i="22"/>
  <c r="G146" i="22"/>
  <c r="G145" i="22"/>
  <c r="G144" i="22"/>
  <c r="G143" i="22"/>
  <c r="G149" i="22" s="1"/>
  <c r="G142" i="22"/>
  <c r="O138" i="22"/>
  <c r="N138" i="22"/>
  <c r="M138" i="22"/>
  <c r="L138" i="22"/>
  <c r="K138" i="22"/>
  <c r="J138" i="22"/>
  <c r="I138" i="22"/>
  <c r="H138" i="22"/>
  <c r="F138" i="22"/>
  <c r="E138" i="22"/>
  <c r="D138" i="22"/>
  <c r="G137" i="22"/>
  <c r="G136" i="22"/>
  <c r="G135" i="22"/>
  <c r="G134" i="22"/>
  <c r="G133" i="22"/>
  <c r="G132" i="22"/>
  <c r="G131" i="22"/>
  <c r="G138" i="22" s="1"/>
  <c r="I125" i="22"/>
  <c r="G125" i="22"/>
  <c r="E125" i="22"/>
  <c r="K124" i="22"/>
  <c r="J124" i="22"/>
  <c r="K123" i="22"/>
  <c r="J123" i="22"/>
  <c r="K122" i="22"/>
  <c r="J122" i="22"/>
  <c r="K121" i="22"/>
  <c r="J121" i="22"/>
  <c r="K120" i="22"/>
  <c r="J120" i="22"/>
  <c r="K119" i="22"/>
  <c r="J119" i="22"/>
  <c r="K118" i="22"/>
  <c r="K125" i="22" s="1"/>
  <c r="J118" i="22"/>
  <c r="J125" i="22" s="1"/>
  <c r="J115" i="22"/>
  <c r="I115" i="22"/>
  <c r="H115" i="22"/>
  <c r="F115" i="22"/>
  <c r="E115" i="22"/>
  <c r="D115" i="22"/>
  <c r="G114" i="22"/>
  <c r="G113" i="22"/>
  <c r="G112" i="22"/>
  <c r="G111" i="22"/>
  <c r="G110" i="22"/>
  <c r="G109" i="22"/>
  <c r="G108" i="22"/>
  <c r="G115" i="22" s="1"/>
  <c r="F102" i="22"/>
  <c r="E102" i="22"/>
  <c r="D102" i="22"/>
  <c r="G101" i="22"/>
  <c r="G100" i="22"/>
  <c r="G99" i="22"/>
  <c r="G98" i="22"/>
  <c r="G97" i="22"/>
  <c r="G96" i="22"/>
  <c r="G102" i="22" s="1"/>
  <c r="K92" i="22"/>
  <c r="J92" i="22"/>
  <c r="I92" i="22"/>
  <c r="H92" i="22"/>
  <c r="G92" i="22"/>
  <c r="F92" i="22"/>
  <c r="E92" i="22"/>
  <c r="D92" i="22"/>
  <c r="K81" i="22"/>
  <c r="J81" i="22"/>
  <c r="I81" i="22"/>
  <c r="H81" i="22"/>
  <c r="G81" i="22"/>
  <c r="F81" i="22"/>
  <c r="E81" i="22"/>
  <c r="D81" i="22"/>
  <c r="L70" i="22"/>
  <c r="K70" i="22"/>
  <c r="J70" i="22"/>
  <c r="I70" i="22"/>
  <c r="H70" i="22"/>
  <c r="G70" i="22"/>
  <c r="F70" i="22"/>
  <c r="E70" i="22"/>
  <c r="D70" i="22"/>
  <c r="K57" i="22"/>
  <c r="J57" i="22"/>
  <c r="I57" i="22"/>
  <c r="H57" i="22"/>
  <c r="G57" i="22"/>
  <c r="F57" i="22"/>
  <c r="E57" i="22"/>
  <c r="D57" i="22"/>
  <c r="K43" i="22"/>
  <c r="J43" i="22"/>
  <c r="I43" i="22"/>
  <c r="H43" i="22"/>
  <c r="G43" i="22"/>
  <c r="F43" i="22"/>
  <c r="E43" i="22"/>
  <c r="D43" i="22"/>
  <c r="G30" i="22"/>
  <c r="F30" i="22"/>
  <c r="E30" i="22"/>
  <c r="D30" i="22"/>
  <c r="H30" i="22" s="1"/>
  <c r="H29" i="22"/>
  <c r="H28" i="22"/>
  <c r="H27" i="22"/>
  <c r="H26" i="22"/>
  <c r="H25" i="22"/>
  <c r="H24" i="22"/>
  <c r="H23" i="22"/>
  <c r="O19" i="22"/>
  <c r="N19" i="22"/>
  <c r="M19" i="22"/>
  <c r="L19" i="22"/>
  <c r="K19" i="22"/>
  <c r="I19" i="22"/>
  <c r="F19" i="22"/>
  <c r="E19" i="22"/>
  <c r="D19" i="22"/>
  <c r="H19" i="22" s="1"/>
  <c r="H18" i="22"/>
  <c r="H17" i="22"/>
  <c r="H16" i="22"/>
  <c r="H15" i="22"/>
  <c r="H14" i="22"/>
  <c r="H13" i="22"/>
  <c r="H12" i="22"/>
  <c r="G171" i="33" l="1"/>
  <c r="F171" i="33"/>
  <c r="C171" i="33"/>
  <c r="I166" i="33"/>
  <c r="I171" i="33" s="1"/>
  <c r="H166" i="33"/>
  <c r="H171" i="33" s="1"/>
  <c r="G166" i="33"/>
  <c r="F166" i="33"/>
  <c r="E166" i="33"/>
  <c r="E171" i="33" s="1"/>
  <c r="D166" i="33"/>
  <c r="D171" i="33" s="1"/>
  <c r="C166" i="33"/>
  <c r="G162" i="33"/>
  <c r="F162" i="33"/>
  <c r="E162" i="33"/>
  <c r="D162" i="33"/>
  <c r="L149" i="33"/>
  <c r="K149" i="33"/>
  <c r="J149" i="33"/>
  <c r="I149" i="33"/>
  <c r="H149" i="33"/>
  <c r="F149" i="33"/>
  <c r="E149" i="33"/>
  <c r="D149" i="33"/>
  <c r="G148" i="33"/>
  <c r="G147" i="33"/>
  <c r="G146" i="33"/>
  <c r="G145" i="33"/>
  <c r="G144" i="33"/>
  <c r="G149" i="33" s="1"/>
  <c r="G143" i="33"/>
  <c r="G142" i="33"/>
  <c r="O138" i="33"/>
  <c r="N138" i="33"/>
  <c r="M138" i="33"/>
  <c r="L138" i="33"/>
  <c r="K138" i="33"/>
  <c r="J138" i="33"/>
  <c r="I138" i="33"/>
  <c r="H138" i="33"/>
  <c r="F138" i="33"/>
  <c r="E138" i="33"/>
  <c r="D138" i="33"/>
  <c r="G137" i="33"/>
  <c r="G136" i="33"/>
  <c r="G135" i="33"/>
  <c r="G134" i="33"/>
  <c r="G133" i="33"/>
  <c r="G132" i="33"/>
  <c r="G138" i="33" s="1"/>
  <c r="G131" i="33"/>
  <c r="I125" i="33"/>
  <c r="G125" i="33"/>
  <c r="E125" i="33"/>
  <c r="K124" i="33"/>
  <c r="J124" i="33"/>
  <c r="K123" i="33"/>
  <c r="J123" i="33"/>
  <c r="K122" i="33"/>
  <c r="J122" i="33"/>
  <c r="K121" i="33"/>
  <c r="J121" i="33"/>
  <c r="K120" i="33"/>
  <c r="J120" i="33"/>
  <c r="K119" i="33"/>
  <c r="J119" i="33"/>
  <c r="K118" i="33"/>
  <c r="K125" i="33" s="1"/>
  <c r="J118" i="33"/>
  <c r="J125" i="33" s="1"/>
  <c r="J115" i="33"/>
  <c r="I115" i="33"/>
  <c r="H115" i="33"/>
  <c r="F115" i="33"/>
  <c r="E115" i="33"/>
  <c r="D115" i="33"/>
  <c r="G114" i="33"/>
  <c r="G113" i="33"/>
  <c r="G112" i="33"/>
  <c r="G111" i="33"/>
  <c r="G110" i="33"/>
  <c r="G115" i="33" s="1"/>
  <c r="G109" i="33"/>
  <c r="G108" i="33"/>
  <c r="F102" i="33"/>
  <c r="E102" i="33"/>
  <c r="D102" i="33"/>
  <c r="G101" i="33"/>
  <c r="G100" i="33"/>
  <c r="G99" i="33"/>
  <c r="G98" i="33"/>
  <c r="G97" i="33"/>
  <c r="G96" i="33"/>
  <c r="G102" i="33" s="1"/>
  <c r="K92" i="33"/>
  <c r="J92" i="33"/>
  <c r="I92" i="33"/>
  <c r="H92" i="33"/>
  <c r="G92" i="33"/>
  <c r="F92" i="33"/>
  <c r="E92" i="33"/>
  <c r="D92" i="33"/>
  <c r="K81" i="33"/>
  <c r="J81" i="33"/>
  <c r="I81" i="33"/>
  <c r="H81" i="33"/>
  <c r="G81" i="33"/>
  <c r="F81" i="33"/>
  <c r="E81" i="33"/>
  <c r="D81" i="33"/>
  <c r="L70" i="33"/>
  <c r="K70" i="33"/>
  <c r="J70" i="33"/>
  <c r="I70" i="33"/>
  <c r="H70" i="33"/>
  <c r="G70" i="33"/>
  <c r="F70" i="33"/>
  <c r="E70" i="33"/>
  <c r="D70" i="33"/>
  <c r="K57" i="33"/>
  <c r="J57" i="33"/>
  <c r="I57" i="33"/>
  <c r="H57" i="33"/>
  <c r="G57" i="33"/>
  <c r="F57" i="33"/>
  <c r="E57" i="33"/>
  <c r="D57" i="33"/>
  <c r="K43" i="33"/>
  <c r="J43" i="33"/>
  <c r="I43" i="33"/>
  <c r="H43" i="33"/>
  <c r="G43" i="33"/>
  <c r="F43" i="33"/>
  <c r="E43" i="33"/>
  <c r="D43" i="33"/>
  <c r="G30" i="33"/>
  <c r="F30" i="33"/>
  <c r="E30" i="33"/>
  <c r="D30" i="33"/>
  <c r="H30" i="33" s="1"/>
  <c r="H29" i="33"/>
  <c r="H28" i="33"/>
  <c r="H27" i="33"/>
  <c r="H26" i="33"/>
  <c r="H25" i="33"/>
  <c r="H24" i="33"/>
  <c r="H23" i="33"/>
  <c r="O19" i="33"/>
  <c r="N19" i="33"/>
  <c r="M19" i="33"/>
  <c r="L19" i="33"/>
  <c r="K19" i="33"/>
  <c r="I19" i="33"/>
  <c r="F19" i="33"/>
  <c r="H19" i="33" s="1"/>
  <c r="E19" i="33"/>
  <c r="D19" i="33"/>
  <c r="H18" i="33"/>
  <c r="H17" i="33"/>
  <c r="H16" i="33"/>
  <c r="H15" i="33"/>
  <c r="H14" i="33"/>
  <c r="H13" i="33"/>
  <c r="H12" i="33"/>
  <c r="G171" i="36" l="1"/>
  <c r="F171" i="36"/>
  <c r="I166" i="36"/>
  <c r="I171" i="36" s="1"/>
  <c r="H166" i="36"/>
  <c r="H171" i="36" s="1"/>
  <c r="F166" i="36"/>
  <c r="E166" i="36"/>
  <c r="E171" i="36" s="1"/>
  <c r="D166" i="36"/>
  <c r="D171" i="36" s="1"/>
  <c r="C166" i="36"/>
  <c r="C171" i="36" s="1"/>
  <c r="G162" i="36"/>
  <c r="F162" i="36"/>
  <c r="E162" i="36"/>
  <c r="D162" i="36"/>
  <c r="L149" i="36"/>
  <c r="K149" i="36"/>
  <c r="J149" i="36"/>
  <c r="I149" i="36"/>
  <c r="H149" i="36"/>
  <c r="F149" i="36"/>
  <c r="E149" i="36"/>
  <c r="D149" i="36"/>
  <c r="G148" i="36"/>
  <c r="G147" i="36"/>
  <c r="G146" i="36"/>
  <c r="G145" i="36"/>
  <c r="G144" i="36"/>
  <c r="G143" i="36"/>
  <c r="G142" i="36"/>
  <c r="G149" i="36" s="1"/>
  <c r="O138" i="36"/>
  <c r="N138" i="36"/>
  <c r="M138" i="36"/>
  <c r="L138" i="36"/>
  <c r="K138" i="36"/>
  <c r="J138" i="36"/>
  <c r="I138" i="36"/>
  <c r="H138" i="36"/>
  <c r="F138" i="36"/>
  <c r="E138" i="36"/>
  <c r="D138" i="36"/>
  <c r="G137" i="36"/>
  <c r="G136" i="36"/>
  <c r="G134" i="36"/>
  <c r="G133" i="36"/>
  <c r="G132" i="36"/>
  <c r="G131" i="36"/>
  <c r="G138" i="36" s="1"/>
  <c r="K125" i="36"/>
  <c r="I125" i="36"/>
  <c r="G125" i="36"/>
  <c r="E125" i="36"/>
  <c r="K124" i="36"/>
  <c r="J124" i="36"/>
  <c r="K123" i="36"/>
  <c r="J123" i="36"/>
  <c r="K122" i="36"/>
  <c r="J122" i="36"/>
  <c r="K121" i="36"/>
  <c r="J121" i="36"/>
  <c r="K120" i="36"/>
  <c r="J120" i="36"/>
  <c r="K119" i="36"/>
  <c r="J119" i="36"/>
  <c r="K118" i="36"/>
  <c r="J118" i="36"/>
  <c r="J125" i="36" s="1"/>
  <c r="J115" i="36"/>
  <c r="I115" i="36"/>
  <c r="H115" i="36"/>
  <c r="F115" i="36"/>
  <c r="E115" i="36"/>
  <c r="D115" i="36"/>
  <c r="G114" i="36"/>
  <c r="G113" i="36"/>
  <c r="G112" i="36"/>
  <c r="G111" i="36"/>
  <c r="G110" i="36"/>
  <c r="G109" i="36"/>
  <c r="G108" i="36"/>
  <c r="G115" i="36" s="1"/>
  <c r="F102" i="36"/>
  <c r="E102" i="36"/>
  <c r="D102" i="36"/>
  <c r="G101" i="36"/>
  <c r="G100" i="36"/>
  <c r="G99" i="36"/>
  <c r="G98" i="36"/>
  <c r="G97" i="36"/>
  <c r="G96" i="36"/>
  <c r="G102" i="36" s="1"/>
  <c r="K92" i="36"/>
  <c r="J92" i="36"/>
  <c r="I92" i="36"/>
  <c r="H92" i="36"/>
  <c r="G92" i="36"/>
  <c r="F92" i="36"/>
  <c r="E92" i="36"/>
  <c r="D92" i="36"/>
  <c r="K81" i="36"/>
  <c r="J81" i="36"/>
  <c r="I81" i="36"/>
  <c r="H81" i="36"/>
  <c r="G81" i="36"/>
  <c r="F81" i="36"/>
  <c r="E81" i="36"/>
  <c r="D81" i="36"/>
  <c r="L70" i="36"/>
  <c r="K70" i="36"/>
  <c r="J70" i="36"/>
  <c r="I70" i="36"/>
  <c r="H70" i="36"/>
  <c r="G70" i="36"/>
  <c r="F70" i="36"/>
  <c r="E70" i="36"/>
  <c r="D70" i="36"/>
  <c r="K57" i="36"/>
  <c r="J57" i="36"/>
  <c r="I57" i="36"/>
  <c r="H57" i="36"/>
  <c r="G57" i="36"/>
  <c r="F57" i="36"/>
  <c r="E57" i="36"/>
  <c r="D57" i="36"/>
  <c r="K43" i="36"/>
  <c r="J43" i="36"/>
  <c r="I43" i="36"/>
  <c r="H43" i="36"/>
  <c r="G43" i="36"/>
  <c r="F43" i="36"/>
  <c r="E43" i="36"/>
  <c r="D43" i="36"/>
  <c r="G30" i="36"/>
  <c r="F30" i="36"/>
  <c r="E30" i="36"/>
  <c r="D30" i="36"/>
  <c r="H30" i="36" s="1"/>
  <c r="H29" i="36"/>
  <c r="H28" i="36"/>
  <c r="H27" i="36"/>
  <c r="H26" i="36"/>
  <c r="H25" i="36"/>
  <c r="H24" i="36"/>
  <c r="H23" i="36"/>
  <c r="O19" i="36"/>
  <c r="N19" i="36"/>
  <c r="M19" i="36"/>
  <c r="L19" i="36"/>
  <c r="K19" i="36"/>
  <c r="I19" i="36"/>
  <c r="F19" i="36"/>
  <c r="E19" i="36"/>
  <c r="D19" i="36"/>
  <c r="H19" i="36" s="1"/>
  <c r="H18" i="36"/>
  <c r="H17" i="36"/>
  <c r="H16" i="36"/>
  <c r="H15" i="36"/>
  <c r="H14" i="36"/>
  <c r="H13" i="36"/>
  <c r="H12" i="36"/>
  <c r="F171" i="35" l="1"/>
  <c r="I166" i="35"/>
  <c r="I171" i="35" s="1"/>
  <c r="H166" i="35"/>
  <c r="H171" i="35" s="1"/>
  <c r="G166" i="35"/>
  <c r="G171" i="35" s="1"/>
  <c r="F166" i="35"/>
  <c r="E166" i="35"/>
  <c r="E171" i="35" s="1"/>
  <c r="D166" i="35"/>
  <c r="D171" i="35" s="1"/>
  <c r="C166" i="35"/>
  <c r="C171" i="35" s="1"/>
  <c r="G162" i="35"/>
  <c r="F162" i="35"/>
  <c r="E162" i="35"/>
  <c r="D162" i="35"/>
  <c r="L149" i="35"/>
  <c r="K149" i="35"/>
  <c r="J149" i="35"/>
  <c r="I149" i="35"/>
  <c r="H149" i="35"/>
  <c r="F149" i="35"/>
  <c r="E149" i="35"/>
  <c r="D149" i="35"/>
  <c r="G148" i="35"/>
  <c r="G147" i="35"/>
  <c r="G146" i="35"/>
  <c r="G145" i="35"/>
  <c r="G144" i="35"/>
  <c r="G149" i="35" s="1"/>
  <c r="G143" i="35"/>
  <c r="G142" i="35"/>
  <c r="O138" i="35"/>
  <c r="N138" i="35"/>
  <c r="M138" i="35"/>
  <c r="L138" i="35"/>
  <c r="K138" i="35"/>
  <c r="J138" i="35"/>
  <c r="I138" i="35"/>
  <c r="H138" i="35"/>
  <c r="F138" i="35"/>
  <c r="E138" i="35"/>
  <c r="D138" i="35"/>
  <c r="G137" i="35"/>
  <c r="G136" i="35"/>
  <c r="G135" i="35"/>
  <c r="G134" i="35"/>
  <c r="G133" i="35"/>
  <c r="G132" i="35"/>
  <c r="G131" i="35"/>
  <c r="G138" i="35" s="1"/>
  <c r="I125" i="35"/>
  <c r="G125" i="35"/>
  <c r="E125" i="35"/>
  <c r="K124" i="35"/>
  <c r="J124" i="35"/>
  <c r="K123" i="35"/>
  <c r="J123" i="35"/>
  <c r="K122" i="35"/>
  <c r="J122" i="35"/>
  <c r="K121" i="35"/>
  <c r="J121" i="35"/>
  <c r="K120" i="35"/>
  <c r="J120" i="35"/>
  <c r="K119" i="35"/>
  <c r="J119" i="35"/>
  <c r="K118" i="35"/>
  <c r="K125" i="35" s="1"/>
  <c r="J118" i="35"/>
  <c r="J125" i="35" s="1"/>
  <c r="J115" i="35"/>
  <c r="I115" i="35"/>
  <c r="H115" i="35"/>
  <c r="F115" i="35"/>
  <c r="E115" i="35"/>
  <c r="D115" i="35"/>
  <c r="G114" i="35"/>
  <c r="G113" i="35"/>
  <c r="G112" i="35"/>
  <c r="G111" i="35"/>
  <c r="G110" i="35"/>
  <c r="G115" i="35" s="1"/>
  <c r="G109" i="35"/>
  <c r="G108" i="35"/>
  <c r="F102" i="35"/>
  <c r="E102" i="35"/>
  <c r="D102" i="35"/>
  <c r="G101" i="35"/>
  <c r="G100" i="35"/>
  <c r="G99" i="35"/>
  <c r="G98" i="35"/>
  <c r="G97" i="35"/>
  <c r="G96" i="35"/>
  <c r="G102" i="35" s="1"/>
  <c r="K92" i="35"/>
  <c r="J92" i="35"/>
  <c r="I92" i="35"/>
  <c r="H92" i="35"/>
  <c r="G92" i="35"/>
  <c r="F92" i="35"/>
  <c r="E92" i="35"/>
  <c r="D92" i="35"/>
  <c r="K81" i="35"/>
  <c r="J81" i="35"/>
  <c r="I81" i="35"/>
  <c r="H81" i="35"/>
  <c r="G81" i="35"/>
  <c r="F81" i="35"/>
  <c r="E81" i="35"/>
  <c r="D81" i="35"/>
  <c r="L70" i="35"/>
  <c r="K70" i="35"/>
  <c r="J70" i="35"/>
  <c r="I70" i="35"/>
  <c r="H70" i="35"/>
  <c r="G70" i="35"/>
  <c r="F70" i="35"/>
  <c r="E70" i="35"/>
  <c r="D70" i="35"/>
  <c r="K57" i="35"/>
  <c r="J57" i="35"/>
  <c r="I57" i="35"/>
  <c r="H57" i="35"/>
  <c r="G57" i="35"/>
  <c r="F57" i="35"/>
  <c r="E57" i="35"/>
  <c r="D57" i="35"/>
  <c r="K43" i="35"/>
  <c r="J43" i="35"/>
  <c r="I43" i="35"/>
  <c r="H43" i="35"/>
  <c r="G43" i="35"/>
  <c r="F43" i="35"/>
  <c r="E43" i="35"/>
  <c r="D43" i="35"/>
  <c r="G30" i="35"/>
  <c r="F30" i="35"/>
  <c r="E30" i="35"/>
  <c r="D30" i="35"/>
  <c r="H30" i="35" s="1"/>
  <c r="H29" i="35"/>
  <c r="H28" i="35"/>
  <c r="H27" i="35"/>
  <c r="H26" i="35"/>
  <c r="H25" i="35"/>
  <c r="H24" i="35"/>
  <c r="H23" i="35"/>
  <c r="O19" i="35"/>
  <c r="N19" i="35"/>
  <c r="M19" i="35"/>
  <c r="L19" i="35"/>
  <c r="K19" i="35"/>
  <c r="I19" i="35"/>
  <c r="H19" i="35"/>
  <c r="F19" i="35"/>
  <c r="E19" i="35"/>
  <c r="D19" i="35"/>
  <c r="H18" i="35"/>
  <c r="H17" i="35"/>
  <c r="H16" i="35"/>
  <c r="H15" i="35"/>
  <c r="H14" i="35"/>
  <c r="H13" i="35"/>
  <c r="H12" i="35"/>
  <c r="F171" i="34" l="1"/>
  <c r="I166" i="34"/>
  <c r="I171" i="34" s="1"/>
  <c r="H166" i="34"/>
  <c r="H171" i="34" s="1"/>
  <c r="G166" i="34"/>
  <c r="G171" i="34" s="1"/>
  <c r="F166" i="34"/>
  <c r="E166" i="34"/>
  <c r="E171" i="34" s="1"/>
  <c r="D166" i="34"/>
  <c r="D171" i="34" s="1"/>
  <c r="C166" i="34"/>
  <c r="C171" i="34" s="1"/>
  <c r="G162" i="34"/>
  <c r="F162" i="34"/>
  <c r="E162" i="34"/>
  <c r="D162" i="34"/>
  <c r="L149" i="34"/>
  <c r="K149" i="34"/>
  <c r="J149" i="34"/>
  <c r="I149" i="34"/>
  <c r="H149" i="34"/>
  <c r="F149" i="34"/>
  <c r="E149" i="34"/>
  <c r="D149" i="34"/>
  <c r="G148" i="34"/>
  <c r="G147" i="34"/>
  <c r="G146" i="34"/>
  <c r="G145" i="34"/>
  <c r="G144" i="34"/>
  <c r="G149" i="34" s="1"/>
  <c r="G143" i="34"/>
  <c r="G142" i="34"/>
  <c r="O138" i="34"/>
  <c r="N138" i="34"/>
  <c r="M138" i="34"/>
  <c r="L138" i="34"/>
  <c r="K138" i="34"/>
  <c r="J138" i="34"/>
  <c r="I138" i="34"/>
  <c r="H138" i="34"/>
  <c r="F138" i="34"/>
  <c r="E138" i="34"/>
  <c r="D138" i="34"/>
  <c r="G137" i="34"/>
  <c r="G136" i="34"/>
  <c r="G135" i="34"/>
  <c r="G134" i="34"/>
  <c r="G133" i="34"/>
  <c r="G132" i="34"/>
  <c r="G131" i="34"/>
  <c r="G138" i="34" s="1"/>
  <c r="I125" i="34"/>
  <c r="G125" i="34"/>
  <c r="E125" i="34"/>
  <c r="K124" i="34"/>
  <c r="J124" i="34"/>
  <c r="K123" i="34"/>
  <c r="J123" i="34"/>
  <c r="K122" i="34"/>
  <c r="J122" i="34"/>
  <c r="K121" i="34"/>
  <c r="J121" i="34"/>
  <c r="K120" i="34"/>
  <c r="J120" i="34"/>
  <c r="K119" i="34"/>
  <c r="J119" i="34"/>
  <c r="K118" i="34"/>
  <c r="K125" i="34" s="1"/>
  <c r="J118" i="34"/>
  <c r="J125" i="34" s="1"/>
  <c r="J115" i="34"/>
  <c r="I115" i="34"/>
  <c r="H115" i="34"/>
  <c r="F115" i="34"/>
  <c r="E115" i="34"/>
  <c r="D115" i="34"/>
  <c r="G114" i="34"/>
  <c r="G113" i="34"/>
  <c r="G112" i="34"/>
  <c r="G111" i="34"/>
  <c r="G110" i="34"/>
  <c r="G115" i="34" s="1"/>
  <c r="G109" i="34"/>
  <c r="G108" i="34"/>
  <c r="F102" i="34"/>
  <c r="E102" i="34"/>
  <c r="D102" i="34"/>
  <c r="G101" i="34"/>
  <c r="G100" i="34"/>
  <c r="G99" i="34"/>
  <c r="G98" i="34"/>
  <c r="G97" i="34"/>
  <c r="G96" i="34"/>
  <c r="G102" i="34" s="1"/>
  <c r="K92" i="34"/>
  <c r="J92" i="34"/>
  <c r="I92" i="34"/>
  <c r="H92" i="34"/>
  <c r="G92" i="34"/>
  <c r="F92" i="34"/>
  <c r="E92" i="34"/>
  <c r="D92" i="34"/>
  <c r="K81" i="34"/>
  <c r="J81" i="34"/>
  <c r="I81" i="34"/>
  <c r="H81" i="34"/>
  <c r="G81" i="34"/>
  <c r="F81" i="34"/>
  <c r="E81" i="34"/>
  <c r="D81" i="34"/>
  <c r="L70" i="34"/>
  <c r="K70" i="34"/>
  <c r="J70" i="34"/>
  <c r="I70" i="34"/>
  <c r="H70" i="34"/>
  <c r="G70" i="34"/>
  <c r="F70" i="34"/>
  <c r="E70" i="34"/>
  <c r="D70" i="34"/>
  <c r="K57" i="34"/>
  <c r="J57" i="34"/>
  <c r="I57" i="34"/>
  <c r="H57" i="34"/>
  <c r="G57" i="34"/>
  <c r="F57" i="34"/>
  <c r="E57" i="34"/>
  <c r="D57" i="34"/>
  <c r="K43" i="34"/>
  <c r="J43" i="34"/>
  <c r="I43" i="34"/>
  <c r="H43" i="34"/>
  <c r="G43" i="34"/>
  <c r="F43" i="34"/>
  <c r="E43" i="34"/>
  <c r="D43" i="34"/>
  <c r="G30" i="34"/>
  <c r="F30" i="34"/>
  <c r="E30" i="34"/>
  <c r="D30" i="34"/>
  <c r="H30" i="34" s="1"/>
  <c r="H29" i="34"/>
  <c r="H28" i="34"/>
  <c r="H27" i="34"/>
  <c r="H26" i="34"/>
  <c r="H25" i="34"/>
  <c r="H24" i="34"/>
  <c r="H23" i="34"/>
  <c r="O19" i="34"/>
  <c r="N19" i="34"/>
  <c r="M19" i="34"/>
  <c r="L19" i="34"/>
  <c r="K19" i="34"/>
  <c r="I19" i="34"/>
  <c r="F19" i="34"/>
  <c r="E19" i="34"/>
  <c r="D19" i="34"/>
  <c r="H19" i="34" s="1"/>
  <c r="H18" i="34"/>
  <c r="H17" i="34"/>
  <c r="H16" i="34"/>
  <c r="H15" i="34"/>
  <c r="H14" i="34"/>
  <c r="H13" i="34"/>
  <c r="H12" i="34"/>
  <c r="F171" i="31" l="1"/>
  <c r="G168" i="31"/>
  <c r="G167" i="31" s="1"/>
  <c r="G166" i="31" s="1"/>
  <c r="G171" i="31" s="1"/>
  <c r="I166" i="31"/>
  <c r="I171" i="31" s="1"/>
  <c r="H166" i="31"/>
  <c r="H171" i="31" s="1"/>
  <c r="F166" i="31"/>
  <c r="E166" i="31"/>
  <c r="E171" i="31" s="1"/>
  <c r="D166" i="31"/>
  <c r="D171" i="31" s="1"/>
  <c r="C166" i="31"/>
  <c r="C171" i="31" s="1"/>
  <c r="G162" i="31"/>
  <c r="F162" i="31"/>
  <c r="E162" i="31"/>
  <c r="D162" i="31"/>
  <c r="I149" i="31"/>
  <c r="H149" i="31"/>
  <c r="F149" i="31"/>
  <c r="D149" i="31"/>
  <c r="G148" i="31"/>
  <c r="G147" i="31"/>
  <c r="L146" i="31"/>
  <c r="L149" i="31" s="1"/>
  <c r="K146" i="31"/>
  <c r="K149" i="31" s="1"/>
  <c r="J146" i="31"/>
  <c r="J149" i="31" s="1"/>
  <c r="E146" i="31"/>
  <c r="E149" i="31" s="1"/>
  <c r="G145" i="31"/>
  <c r="G144" i="31"/>
  <c r="G143" i="31"/>
  <c r="G142" i="31"/>
  <c r="O138" i="31"/>
  <c r="N138" i="31"/>
  <c r="M138" i="31"/>
  <c r="L138" i="31"/>
  <c r="K138" i="31"/>
  <c r="J138" i="31"/>
  <c r="I138" i="31"/>
  <c r="H138" i="31"/>
  <c r="F138" i="31"/>
  <c r="E138" i="31"/>
  <c r="D138" i="31"/>
  <c r="G137" i="31"/>
  <c r="G136" i="31"/>
  <c r="G135" i="31"/>
  <c r="G134" i="31"/>
  <c r="G133" i="31"/>
  <c r="G132" i="31"/>
  <c r="G131" i="31"/>
  <c r="G138" i="31" s="1"/>
  <c r="K125" i="31"/>
  <c r="I125" i="31"/>
  <c r="G125" i="31"/>
  <c r="E125" i="31"/>
  <c r="K124" i="31"/>
  <c r="J124" i="31"/>
  <c r="K123" i="31"/>
  <c r="J123" i="31"/>
  <c r="K122" i="31"/>
  <c r="J122" i="31"/>
  <c r="K121" i="31"/>
  <c r="J121" i="31"/>
  <c r="K120" i="31"/>
  <c r="J120" i="31"/>
  <c r="K119" i="31"/>
  <c r="J119" i="31"/>
  <c r="K118" i="31"/>
  <c r="J118" i="31"/>
  <c r="J125" i="31" s="1"/>
  <c r="J115" i="31"/>
  <c r="I115" i="31"/>
  <c r="H115" i="31"/>
  <c r="F115" i="31"/>
  <c r="E115" i="31"/>
  <c r="D115" i="31"/>
  <c r="G114" i="31"/>
  <c r="G113" i="31"/>
  <c r="G112" i="31"/>
  <c r="G111" i="31"/>
  <c r="G110" i="31"/>
  <c r="G109" i="31"/>
  <c r="G108" i="31"/>
  <c r="G115" i="31" s="1"/>
  <c r="F102" i="31"/>
  <c r="E102" i="31"/>
  <c r="D102" i="31"/>
  <c r="G101" i="31"/>
  <c r="G100" i="31"/>
  <c r="G99" i="31"/>
  <c r="G98" i="31"/>
  <c r="G97" i="31"/>
  <c r="G96" i="31"/>
  <c r="G102" i="31" s="1"/>
  <c r="K92" i="31"/>
  <c r="J92" i="31"/>
  <c r="I92" i="31"/>
  <c r="H92" i="31"/>
  <c r="G92" i="31"/>
  <c r="F92" i="31"/>
  <c r="E92" i="31"/>
  <c r="D92" i="31"/>
  <c r="K81" i="31"/>
  <c r="J81" i="31"/>
  <c r="I81" i="31"/>
  <c r="H81" i="31"/>
  <c r="G81" i="31"/>
  <c r="F81" i="31"/>
  <c r="E81" i="31"/>
  <c r="D81" i="31"/>
  <c r="L70" i="31"/>
  <c r="K70" i="31"/>
  <c r="J70" i="31"/>
  <c r="I70" i="31"/>
  <c r="H70" i="31"/>
  <c r="G70" i="31"/>
  <c r="F70" i="31"/>
  <c r="E70" i="31"/>
  <c r="D70" i="31"/>
  <c r="K57" i="31"/>
  <c r="J57" i="31"/>
  <c r="I57" i="31"/>
  <c r="H57" i="31"/>
  <c r="G57" i="31"/>
  <c r="F57" i="31"/>
  <c r="E57" i="31"/>
  <c r="D57" i="31"/>
  <c r="K43" i="31"/>
  <c r="J43" i="31"/>
  <c r="I43" i="31"/>
  <c r="H43" i="31"/>
  <c r="G43" i="31"/>
  <c r="F43" i="31"/>
  <c r="E43" i="31"/>
  <c r="D43" i="31"/>
  <c r="G30" i="31"/>
  <c r="F30" i="31"/>
  <c r="E30" i="31"/>
  <c r="D30" i="31"/>
  <c r="H30" i="31" s="1"/>
  <c r="H29" i="31"/>
  <c r="H28" i="31"/>
  <c r="H27" i="31"/>
  <c r="H26" i="31"/>
  <c r="H25" i="31"/>
  <c r="H24" i="31"/>
  <c r="H23" i="31"/>
  <c r="O19" i="31"/>
  <c r="N19" i="31"/>
  <c r="M19" i="31"/>
  <c r="L19" i="31"/>
  <c r="K19" i="31"/>
  <c r="I19" i="31"/>
  <c r="F19" i="31"/>
  <c r="E19" i="31"/>
  <c r="D19" i="31"/>
  <c r="H19" i="31" s="1"/>
  <c r="H18" i="31"/>
  <c r="H17" i="31"/>
  <c r="H16" i="31"/>
  <c r="H15" i="31"/>
  <c r="H14" i="31"/>
  <c r="H13" i="31"/>
  <c r="H12" i="31"/>
  <c r="G146" i="31" l="1"/>
  <c r="G149" i="31" s="1"/>
  <c r="G167" i="29" l="1"/>
  <c r="G166" i="29" s="1"/>
  <c r="G171" i="29" s="1"/>
  <c r="I166" i="29"/>
  <c r="I171" i="29" s="1"/>
  <c r="H166" i="29"/>
  <c r="H171" i="29" s="1"/>
  <c r="F166" i="29"/>
  <c r="F171" i="29" s="1"/>
  <c r="E166" i="29"/>
  <c r="E171" i="29" s="1"/>
  <c r="D166" i="29"/>
  <c r="D171" i="29" s="1"/>
  <c r="C166" i="29"/>
  <c r="C171" i="29" s="1"/>
  <c r="G162" i="29"/>
  <c r="F162" i="29"/>
  <c r="E162" i="29"/>
  <c r="D162" i="29"/>
  <c r="L149" i="29"/>
  <c r="K149" i="29"/>
  <c r="J149" i="29"/>
  <c r="I149" i="29"/>
  <c r="H149" i="29"/>
  <c r="F149" i="29"/>
  <c r="D149" i="29"/>
  <c r="G148" i="29"/>
  <c r="G147" i="29"/>
  <c r="L146" i="29"/>
  <c r="J146" i="29"/>
  <c r="G146" i="29"/>
  <c r="E146" i="29"/>
  <c r="E149" i="29" s="1"/>
  <c r="G145" i="29"/>
  <c r="G144" i="29"/>
  <c r="G143" i="29"/>
  <c r="G142" i="29"/>
  <c r="O138" i="29"/>
  <c r="N138" i="29"/>
  <c r="M138" i="29"/>
  <c r="L138" i="29"/>
  <c r="K138" i="29"/>
  <c r="J138" i="29"/>
  <c r="I138" i="29"/>
  <c r="F138" i="29"/>
  <c r="E138" i="29"/>
  <c r="D138" i="29"/>
  <c r="G137" i="29"/>
  <c r="G136" i="29"/>
  <c r="H135" i="29"/>
  <c r="H138" i="29" s="1"/>
  <c r="G135" i="29"/>
  <c r="G134" i="29"/>
  <c r="G133" i="29"/>
  <c r="G132" i="29"/>
  <c r="G131" i="29"/>
  <c r="G138" i="29" s="1"/>
  <c r="I125" i="29"/>
  <c r="G125" i="29"/>
  <c r="E125" i="29"/>
  <c r="K124" i="29"/>
  <c r="J124" i="29"/>
  <c r="K123" i="29"/>
  <c r="J123" i="29"/>
  <c r="K122" i="29"/>
  <c r="J122" i="29"/>
  <c r="K121" i="29"/>
  <c r="J121" i="29"/>
  <c r="K120" i="29"/>
  <c r="J120" i="29"/>
  <c r="K119" i="29"/>
  <c r="J119" i="29"/>
  <c r="K118" i="29"/>
  <c r="K125" i="29" s="1"/>
  <c r="J118" i="29"/>
  <c r="J125" i="29" s="1"/>
  <c r="J115" i="29"/>
  <c r="I115" i="29"/>
  <c r="H115" i="29"/>
  <c r="F115" i="29"/>
  <c r="E115" i="29"/>
  <c r="D115" i="29"/>
  <c r="G114" i="29"/>
  <c r="G113" i="29"/>
  <c r="G112" i="29"/>
  <c r="G111" i="29"/>
  <c r="G110" i="29"/>
  <c r="G109" i="29"/>
  <c r="G115" i="29" s="1"/>
  <c r="G108" i="29"/>
  <c r="F102" i="29"/>
  <c r="E102" i="29"/>
  <c r="D102" i="29"/>
  <c r="G101" i="29"/>
  <c r="G100" i="29"/>
  <c r="G99" i="29"/>
  <c r="G98" i="29"/>
  <c r="G97" i="29"/>
  <c r="G96" i="29"/>
  <c r="G102" i="29" s="1"/>
  <c r="K92" i="29"/>
  <c r="J92" i="29"/>
  <c r="I92" i="29"/>
  <c r="H92" i="29"/>
  <c r="G92" i="29"/>
  <c r="F92" i="29"/>
  <c r="E92" i="29"/>
  <c r="D92" i="29"/>
  <c r="K81" i="29"/>
  <c r="J81" i="29"/>
  <c r="I81" i="29"/>
  <c r="H81" i="29"/>
  <c r="G81" i="29"/>
  <c r="F81" i="29"/>
  <c r="E81" i="29"/>
  <c r="D81" i="29"/>
  <c r="L70" i="29"/>
  <c r="K70" i="29"/>
  <c r="J70" i="29"/>
  <c r="I70" i="29"/>
  <c r="H70" i="29"/>
  <c r="G70" i="29"/>
  <c r="F70" i="29"/>
  <c r="E70" i="29"/>
  <c r="D70" i="29"/>
  <c r="K57" i="29"/>
  <c r="J57" i="29"/>
  <c r="I57" i="29"/>
  <c r="H57" i="29"/>
  <c r="G57" i="29"/>
  <c r="F57" i="29"/>
  <c r="E57" i="29"/>
  <c r="D57" i="29"/>
  <c r="K43" i="29"/>
  <c r="J43" i="29"/>
  <c r="I43" i="29"/>
  <c r="H43" i="29"/>
  <c r="G43" i="29"/>
  <c r="F43" i="29"/>
  <c r="E43" i="29"/>
  <c r="D43" i="29"/>
  <c r="G30" i="29"/>
  <c r="F30" i="29"/>
  <c r="E30" i="29"/>
  <c r="H29" i="29"/>
  <c r="H28" i="29"/>
  <c r="H27" i="29"/>
  <c r="D27" i="29"/>
  <c r="D30" i="29" s="1"/>
  <c r="H30" i="29" s="1"/>
  <c r="H26" i="29"/>
  <c r="H25" i="29"/>
  <c r="H24" i="29"/>
  <c r="H23" i="29"/>
  <c r="O19" i="29"/>
  <c r="N19" i="29"/>
  <c r="M19" i="29"/>
  <c r="L19" i="29"/>
  <c r="K19" i="29"/>
  <c r="F19" i="29"/>
  <c r="E19" i="29"/>
  <c r="H18" i="29"/>
  <c r="H17" i="29"/>
  <c r="D16" i="29"/>
  <c r="D19" i="29" s="1"/>
  <c r="H19" i="29" s="1"/>
  <c r="H15" i="29"/>
  <c r="H14" i="29"/>
  <c r="H13" i="29"/>
  <c r="H12" i="29"/>
  <c r="G149" i="29" l="1"/>
  <c r="H16" i="29"/>
  <c r="I16" i="29" s="1"/>
  <c r="I19" i="29" s="1"/>
  <c r="F171" i="28" l="1"/>
  <c r="E171" i="28"/>
  <c r="I166" i="28"/>
  <c r="I171" i="28" s="1"/>
  <c r="H166" i="28"/>
  <c r="H171" i="28" s="1"/>
  <c r="F166" i="28"/>
  <c r="E166" i="28"/>
  <c r="D166" i="28"/>
  <c r="D171" i="28" s="1"/>
  <c r="C166" i="28"/>
  <c r="C171" i="28" s="1"/>
  <c r="G162" i="28"/>
  <c r="F162" i="28"/>
  <c r="E162" i="28"/>
  <c r="D162" i="28"/>
  <c r="L149" i="28"/>
  <c r="K149" i="28"/>
  <c r="J149" i="28"/>
  <c r="I149" i="28"/>
  <c r="H149" i="28"/>
  <c r="F149" i="28"/>
  <c r="E149" i="28"/>
  <c r="D149" i="28"/>
  <c r="G148" i="28"/>
  <c r="G147" i="28"/>
  <c r="G145" i="28"/>
  <c r="G144" i="28"/>
  <c r="G143" i="28"/>
  <c r="G142" i="28"/>
  <c r="G149" i="28" s="1"/>
  <c r="O138" i="28"/>
  <c r="N138" i="28"/>
  <c r="M138" i="28"/>
  <c r="L138" i="28"/>
  <c r="K138" i="28"/>
  <c r="J138" i="28"/>
  <c r="I138" i="28"/>
  <c r="F138" i="28"/>
  <c r="E138" i="28"/>
  <c r="D138" i="28"/>
  <c r="G137" i="28"/>
  <c r="G136" i="28"/>
  <c r="G134" i="28"/>
  <c r="G133" i="28"/>
  <c r="G132" i="28"/>
  <c r="G131" i="28"/>
  <c r="G138" i="28" s="1"/>
  <c r="I125" i="28"/>
  <c r="G125" i="28"/>
  <c r="E125" i="28"/>
  <c r="K124" i="28"/>
  <c r="J124" i="28"/>
  <c r="K123" i="28"/>
  <c r="J123" i="28"/>
  <c r="K122" i="28"/>
  <c r="J122" i="28"/>
  <c r="K121" i="28"/>
  <c r="J121" i="28"/>
  <c r="K120" i="28"/>
  <c r="J120" i="28"/>
  <c r="K119" i="28"/>
  <c r="J119" i="28"/>
  <c r="K118" i="28"/>
  <c r="K125" i="28" s="1"/>
  <c r="J118" i="28"/>
  <c r="J125" i="28" s="1"/>
  <c r="J115" i="28"/>
  <c r="I115" i="28"/>
  <c r="H115" i="28"/>
  <c r="F115" i="28"/>
  <c r="E115" i="28"/>
  <c r="D115" i="28"/>
  <c r="G114" i="28"/>
  <c r="G113" i="28"/>
  <c r="G112" i="28"/>
  <c r="G111" i="28"/>
  <c r="G110" i="28"/>
  <c r="G109" i="28"/>
  <c r="G115" i="28" s="1"/>
  <c r="G108" i="28"/>
  <c r="F102" i="28"/>
  <c r="E102" i="28"/>
  <c r="D102" i="28"/>
  <c r="G101" i="28"/>
  <c r="G100" i="28"/>
  <c r="G99" i="28"/>
  <c r="G98" i="28"/>
  <c r="G97" i="28"/>
  <c r="G96" i="28"/>
  <c r="G102" i="28" s="1"/>
  <c r="K92" i="28"/>
  <c r="J92" i="28"/>
  <c r="I92" i="28"/>
  <c r="H92" i="28"/>
  <c r="G92" i="28"/>
  <c r="F92" i="28"/>
  <c r="E92" i="28"/>
  <c r="D92" i="28"/>
  <c r="K81" i="28"/>
  <c r="J81" i="28"/>
  <c r="I81" i="28"/>
  <c r="H81" i="28"/>
  <c r="G81" i="28"/>
  <c r="F81" i="28"/>
  <c r="E81" i="28"/>
  <c r="D81" i="28"/>
  <c r="L70" i="28"/>
  <c r="K70" i="28"/>
  <c r="J70" i="28"/>
  <c r="I70" i="28"/>
  <c r="H70" i="28"/>
  <c r="G70" i="28"/>
  <c r="F70" i="28"/>
  <c r="E70" i="28"/>
  <c r="D70" i="28"/>
  <c r="K57" i="28"/>
  <c r="J57" i="28"/>
  <c r="I57" i="28"/>
  <c r="H57" i="28"/>
  <c r="G57" i="28"/>
  <c r="F57" i="28"/>
  <c r="E57" i="28"/>
  <c r="D57" i="28"/>
  <c r="K43" i="28"/>
  <c r="J43" i="28"/>
  <c r="I43" i="28"/>
  <c r="H43" i="28"/>
  <c r="G43" i="28"/>
  <c r="F43" i="28"/>
  <c r="E43" i="28"/>
  <c r="D43" i="28"/>
  <c r="G30" i="28"/>
  <c r="F30" i="28"/>
  <c r="E30" i="28"/>
  <c r="D30" i="28"/>
  <c r="H30" i="28" s="1"/>
  <c r="H29" i="28"/>
  <c r="H28" i="28"/>
  <c r="H27" i="28"/>
  <c r="H26" i="28"/>
  <c r="H25" i="28"/>
  <c r="H24" i="28"/>
  <c r="H23" i="28"/>
  <c r="O19" i="28"/>
  <c r="N19" i="28"/>
  <c r="M19" i="28"/>
  <c r="L19" i="28"/>
  <c r="K19" i="28"/>
  <c r="I19" i="28"/>
  <c r="F19" i="28"/>
  <c r="H19" i="28" s="1"/>
  <c r="E19" i="28"/>
  <c r="D19" i="28"/>
  <c r="H18" i="28"/>
  <c r="H17" i="28"/>
  <c r="H16" i="28"/>
  <c r="H15" i="28"/>
  <c r="H14" i="28"/>
  <c r="H13" i="28"/>
  <c r="H12" i="28"/>
  <c r="F171" i="27" l="1"/>
  <c r="I166" i="27"/>
  <c r="I171" i="27" s="1"/>
  <c r="H166" i="27"/>
  <c r="H171" i="27" s="1"/>
  <c r="G166" i="27"/>
  <c r="G171" i="27" s="1"/>
  <c r="F166" i="27"/>
  <c r="E166" i="27"/>
  <c r="E171" i="27" s="1"/>
  <c r="D166" i="27"/>
  <c r="D171" i="27" s="1"/>
  <c r="C166" i="27"/>
  <c r="C171" i="27" s="1"/>
  <c r="G162" i="27"/>
  <c r="F162" i="27"/>
  <c r="E162" i="27"/>
  <c r="D162" i="27"/>
  <c r="L149" i="27"/>
  <c r="K149" i="27"/>
  <c r="J149" i="27"/>
  <c r="I149" i="27"/>
  <c r="H149" i="27"/>
  <c r="F149" i="27"/>
  <c r="E149" i="27"/>
  <c r="D149" i="27"/>
  <c r="G148" i="27"/>
  <c r="G147" i="27"/>
  <c r="G146" i="27"/>
  <c r="G145" i="27"/>
  <c r="G144" i="27"/>
  <c r="G149" i="27" s="1"/>
  <c r="G143" i="27"/>
  <c r="G142" i="27"/>
  <c r="O138" i="27"/>
  <c r="N138" i="27"/>
  <c r="M138" i="27"/>
  <c r="L138" i="27"/>
  <c r="K138" i="27"/>
  <c r="J138" i="27"/>
  <c r="I138" i="27"/>
  <c r="H138" i="27"/>
  <c r="F138" i="27"/>
  <c r="E138" i="27"/>
  <c r="D138" i="27"/>
  <c r="G137" i="27"/>
  <c r="G136" i="27"/>
  <c r="G135" i="27"/>
  <c r="G134" i="27"/>
  <c r="G133" i="27"/>
  <c r="G132" i="27"/>
  <c r="G131" i="27"/>
  <c r="G138" i="27" s="1"/>
  <c r="I125" i="27"/>
  <c r="G125" i="27"/>
  <c r="E125" i="27"/>
  <c r="K124" i="27"/>
  <c r="J124" i="27"/>
  <c r="K123" i="27"/>
  <c r="J123" i="27"/>
  <c r="K122" i="27"/>
  <c r="J122" i="27"/>
  <c r="K121" i="27"/>
  <c r="J121" i="27"/>
  <c r="K120" i="27"/>
  <c r="J120" i="27"/>
  <c r="K119" i="27"/>
  <c r="J119" i="27"/>
  <c r="K118" i="27"/>
  <c r="K125" i="27" s="1"/>
  <c r="J118" i="27"/>
  <c r="J125" i="27" s="1"/>
  <c r="J115" i="27"/>
  <c r="I115" i="27"/>
  <c r="H115" i="27"/>
  <c r="F115" i="27"/>
  <c r="E115" i="27"/>
  <c r="D115" i="27"/>
  <c r="G114" i="27"/>
  <c r="G113" i="27"/>
  <c r="G112" i="27"/>
  <c r="G111" i="27"/>
  <c r="G110" i="27"/>
  <c r="G115" i="27" s="1"/>
  <c r="G109" i="27"/>
  <c r="G108" i="27"/>
  <c r="F102" i="27"/>
  <c r="E102" i="27"/>
  <c r="D102" i="27"/>
  <c r="G101" i="27"/>
  <c r="G100" i="27"/>
  <c r="G99" i="27"/>
  <c r="G98" i="27"/>
  <c r="G97" i="27"/>
  <c r="G96" i="27"/>
  <c r="G102" i="27" s="1"/>
  <c r="K92" i="27"/>
  <c r="J92" i="27"/>
  <c r="I92" i="27"/>
  <c r="H92" i="27"/>
  <c r="G92" i="27"/>
  <c r="F92" i="27"/>
  <c r="E92" i="27"/>
  <c r="D92" i="27"/>
  <c r="K81" i="27"/>
  <c r="J81" i="27"/>
  <c r="I81" i="27"/>
  <c r="H81" i="27"/>
  <c r="G81" i="27"/>
  <c r="F81" i="27"/>
  <c r="E81" i="27"/>
  <c r="D81" i="27"/>
  <c r="L70" i="27"/>
  <c r="K70" i="27"/>
  <c r="J70" i="27"/>
  <c r="I70" i="27"/>
  <c r="H70" i="27"/>
  <c r="G70" i="27"/>
  <c r="F70" i="27"/>
  <c r="E70" i="27"/>
  <c r="D70" i="27"/>
  <c r="K57" i="27"/>
  <c r="J57" i="27"/>
  <c r="I57" i="27"/>
  <c r="H57" i="27"/>
  <c r="G57" i="27"/>
  <c r="F57" i="27"/>
  <c r="E57" i="27"/>
  <c r="D57" i="27"/>
  <c r="K43" i="27"/>
  <c r="J43" i="27"/>
  <c r="I43" i="27"/>
  <c r="H43" i="27"/>
  <c r="G43" i="27"/>
  <c r="F43" i="27"/>
  <c r="E43" i="27"/>
  <c r="D43" i="27"/>
  <c r="G30" i="27"/>
  <c r="F30" i="27"/>
  <c r="E30" i="27"/>
  <c r="D30" i="27"/>
  <c r="H30" i="27" s="1"/>
  <c r="H29" i="27"/>
  <c r="H28" i="27"/>
  <c r="H27" i="27"/>
  <c r="H26" i="27"/>
  <c r="H25" i="27"/>
  <c r="H24" i="27"/>
  <c r="H23" i="27"/>
  <c r="O19" i="27"/>
  <c r="N19" i="27"/>
  <c r="M19" i="27"/>
  <c r="L19" i="27"/>
  <c r="K19" i="27"/>
  <c r="I19" i="27"/>
  <c r="H19" i="27"/>
  <c r="F19" i="27"/>
  <c r="E19" i="27"/>
  <c r="D19" i="27"/>
  <c r="H18" i="27"/>
  <c r="H17" i="27"/>
  <c r="H16" i="27"/>
  <c r="H15" i="27"/>
  <c r="H14" i="27"/>
  <c r="H13" i="27"/>
  <c r="H12" i="27"/>
  <c r="F171" i="26" l="1"/>
  <c r="I166" i="26"/>
  <c r="I171" i="26" s="1"/>
  <c r="H166" i="26"/>
  <c r="H171" i="26" s="1"/>
  <c r="G166" i="26"/>
  <c r="G171" i="26" s="1"/>
  <c r="F166" i="26"/>
  <c r="E166" i="26"/>
  <c r="E171" i="26" s="1"/>
  <c r="D166" i="26"/>
  <c r="D171" i="26" s="1"/>
  <c r="C166" i="26"/>
  <c r="C171" i="26" s="1"/>
  <c r="G162" i="26"/>
  <c r="F162" i="26"/>
  <c r="E162" i="26"/>
  <c r="D162" i="26"/>
  <c r="L149" i="26"/>
  <c r="K149" i="26"/>
  <c r="J149" i="26"/>
  <c r="I149" i="26"/>
  <c r="H149" i="26"/>
  <c r="F149" i="26"/>
  <c r="E149" i="26"/>
  <c r="D149" i="26"/>
  <c r="G148" i="26"/>
  <c r="G147" i="26"/>
  <c r="G146" i="26"/>
  <c r="G145" i="26"/>
  <c r="G144" i="26"/>
  <c r="G149" i="26" s="1"/>
  <c r="G143" i="26"/>
  <c r="G142" i="26"/>
  <c r="O138" i="26"/>
  <c r="N138" i="26"/>
  <c r="M138" i="26"/>
  <c r="L138" i="26"/>
  <c r="K138" i="26"/>
  <c r="J138" i="26"/>
  <c r="I138" i="26"/>
  <c r="H138" i="26"/>
  <c r="F138" i="26"/>
  <c r="E138" i="26"/>
  <c r="D138" i="26"/>
  <c r="G137" i="26"/>
  <c r="G136" i="26"/>
  <c r="G135" i="26"/>
  <c r="G134" i="26"/>
  <c r="G133" i="26"/>
  <c r="G132" i="26"/>
  <c r="G131" i="26"/>
  <c r="G138" i="26" s="1"/>
  <c r="I125" i="26"/>
  <c r="G125" i="26"/>
  <c r="E125" i="26"/>
  <c r="K124" i="26"/>
  <c r="J124" i="26"/>
  <c r="K123" i="26"/>
  <c r="J123" i="26"/>
  <c r="K122" i="26"/>
  <c r="J122" i="26"/>
  <c r="K121" i="26"/>
  <c r="J121" i="26"/>
  <c r="K120" i="26"/>
  <c r="J120" i="26"/>
  <c r="K119" i="26"/>
  <c r="J119" i="26"/>
  <c r="K118" i="26"/>
  <c r="K125" i="26" s="1"/>
  <c r="J118" i="26"/>
  <c r="J125" i="26" s="1"/>
  <c r="J115" i="26"/>
  <c r="I115" i="26"/>
  <c r="H115" i="26"/>
  <c r="F115" i="26"/>
  <c r="E115" i="26"/>
  <c r="D115" i="26"/>
  <c r="G114" i="26"/>
  <c r="G113" i="26"/>
  <c r="G112" i="26"/>
  <c r="G111" i="26"/>
  <c r="G110" i="26"/>
  <c r="G115" i="26" s="1"/>
  <c r="G109" i="26"/>
  <c r="G108" i="26"/>
  <c r="F102" i="26"/>
  <c r="E102" i="26"/>
  <c r="D102" i="26"/>
  <c r="G101" i="26"/>
  <c r="G100" i="26"/>
  <c r="G99" i="26"/>
  <c r="G98" i="26"/>
  <c r="G97" i="26"/>
  <c r="G96" i="26"/>
  <c r="G102" i="26" s="1"/>
  <c r="K92" i="26"/>
  <c r="J92" i="26"/>
  <c r="I92" i="26"/>
  <c r="H92" i="26"/>
  <c r="G92" i="26"/>
  <c r="F92" i="26"/>
  <c r="E92" i="26"/>
  <c r="D92" i="26"/>
  <c r="K81" i="26"/>
  <c r="J81" i="26"/>
  <c r="I81" i="26"/>
  <c r="H81" i="26"/>
  <c r="G81" i="26"/>
  <c r="F81" i="26"/>
  <c r="E81" i="26"/>
  <c r="D81" i="26"/>
  <c r="L70" i="26"/>
  <c r="K70" i="26"/>
  <c r="J70" i="26"/>
  <c r="I70" i="26"/>
  <c r="H70" i="26"/>
  <c r="G70" i="26"/>
  <c r="F70" i="26"/>
  <c r="E70" i="26"/>
  <c r="D70" i="26"/>
  <c r="K57" i="26"/>
  <c r="J57" i="26"/>
  <c r="I57" i="26"/>
  <c r="H57" i="26"/>
  <c r="G57" i="26"/>
  <c r="F57" i="26"/>
  <c r="E57" i="26"/>
  <c r="D57" i="26"/>
  <c r="K43" i="26"/>
  <c r="J43" i="26"/>
  <c r="I43" i="26"/>
  <c r="H43" i="26"/>
  <c r="G43" i="26"/>
  <c r="F43" i="26"/>
  <c r="E43" i="26"/>
  <c r="D43" i="26"/>
  <c r="G30" i="26"/>
  <c r="F30" i="26"/>
  <c r="E30" i="26"/>
  <c r="D30" i="26"/>
  <c r="H30" i="26" s="1"/>
  <c r="H29" i="26"/>
  <c r="H28" i="26"/>
  <c r="H27" i="26"/>
  <c r="H26" i="26"/>
  <c r="H25" i="26"/>
  <c r="H24" i="26"/>
  <c r="H23" i="26"/>
  <c r="O19" i="26"/>
  <c r="N19" i="26"/>
  <c r="M19" i="26"/>
  <c r="L19" i="26"/>
  <c r="K19" i="26"/>
  <c r="I19" i="26"/>
  <c r="H19" i="26"/>
  <c r="F19" i="26"/>
  <c r="E19" i="26"/>
  <c r="D19" i="26"/>
  <c r="H18" i="26"/>
  <c r="H17" i="26"/>
  <c r="H16" i="26"/>
  <c r="H15" i="26"/>
  <c r="H14" i="26"/>
  <c r="H13" i="26"/>
  <c r="H12" i="26"/>
  <c r="G167" i="25" l="1"/>
  <c r="G166" i="25" s="1"/>
  <c r="G171" i="25" s="1"/>
  <c r="I166" i="25"/>
  <c r="I171" i="25" s="1"/>
  <c r="H166" i="25"/>
  <c r="H171" i="25" s="1"/>
  <c r="F166" i="25"/>
  <c r="F171" i="25" s="1"/>
  <c r="E166" i="25"/>
  <c r="E171" i="25" s="1"/>
  <c r="D166" i="25"/>
  <c r="D171" i="25" s="1"/>
  <c r="C166" i="25"/>
  <c r="C171" i="25" s="1"/>
  <c r="G162" i="25"/>
  <c r="F162" i="25"/>
  <c r="E162" i="25"/>
  <c r="D162" i="25"/>
  <c r="L149" i="25"/>
  <c r="K149" i="25"/>
  <c r="J149" i="25"/>
  <c r="I149" i="25"/>
  <c r="H149" i="25"/>
  <c r="E149" i="25"/>
  <c r="D149" i="25"/>
  <c r="G148" i="25"/>
  <c r="G147" i="25"/>
  <c r="F146" i="25"/>
  <c r="G146" i="25" s="1"/>
  <c r="E146" i="25"/>
  <c r="G145" i="25"/>
  <c r="G144" i="25"/>
  <c r="G143" i="25"/>
  <c r="G142" i="25"/>
  <c r="G149" i="25" s="1"/>
  <c r="O138" i="25"/>
  <c r="N138" i="25"/>
  <c r="M138" i="25"/>
  <c r="L138" i="25"/>
  <c r="K138" i="25"/>
  <c r="J138" i="25"/>
  <c r="I138" i="25"/>
  <c r="H138" i="25"/>
  <c r="F138" i="25"/>
  <c r="E138" i="25"/>
  <c r="D138" i="25"/>
  <c r="G137" i="25"/>
  <c r="G136" i="25"/>
  <c r="G135" i="25"/>
  <c r="G134" i="25"/>
  <c r="G133" i="25"/>
  <c r="G132" i="25"/>
  <c r="G131" i="25"/>
  <c r="G138" i="25" s="1"/>
  <c r="I125" i="25"/>
  <c r="G125" i="25"/>
  <c r="E125" i="25"/>
  <c r="K124" i="25"/>
  <c r="J124" i="25"/>
  <c r="K123" i="25"/>
  <c r="J123" i="25"/>
  <c r="K122" i="25"/>
  <c r="J122" i="25"/>
  <c r="K121" i="25"/>
  <c r="J121" i="25"/>
  <c r="K120" i="25"/>
  <c r="J120" i="25"/>
  <c r="K119" i="25"/>
  <c r="J119" i="25"/>
  <c r="K118" i="25"/>
  <c r="K125" i="25" s="1"/>
  <c r="J118" i="25"/>
  <c r="J125" i="25" s="1"/>
  <c r="J115" i="25"/>
  <c r="I115" i="25"/>
  <c r="H115" i="25"/>
  <c r="F115" i="25"/>
  <c r="E115" i="25"/>
  <c r="D115" i="25"/>
  <c r="G114" i="25"/>
  <c r="G113" i="25"/>
  <c r="G112" i="25"/>
  <c r="G111" i="25"/>
  <c r="G110" i="25"/>
  <c r="G109" i="25"/>
  <c r="G115" i="25" s="1"/>
  <c r="G108" i="25"/>
  <c r="F102" i="25"/>
  <c r="E102" i="25"/>
  <c r="D102" i="25"/>
  <c r="G101" i="25"/>
  <c r="G100" i="25"/>
  <c r="G99" i="25"/>
  <c r="G98" i="25"/>
  <c r="G97" i="25"/>
  <c r="G96" i="25"/>
  <c r="K92" i="25"/>
  <c r="J92" i="25"/>
  <c r="I92" i="25"/>
  <c r="H92" i="25"/>
  <c r="G92" i="25"/>
  <c r="F92" i="25"/>
  <c r="E92" i="25"/>
  <c r="D92" i="25"/>
  <c r="K81" i="25"/>
  <c r="J81" i="25"/>
  <c r="I81" i="25"/>
  <c r="H81" i="25"/>
  <c r="G81" i="25"/>
  <c r="F81" i="25"/>
  <c r="E81" i="25"/>
  <c r="D81" i="25"/>
  <c r="L70" i="25"/>
  <c r="K70" i="25"/>
  <c r="J70" i="25"/>
  <c r="I70" i="25"/>
  <c r="H70" i="25"/>
  <c r="G70" i="25"/>
  <c r="F70" i="25"/>
  <c r="E70" i="25"/>
  <c r="D70" i="25"/>
  <c r="K57" i="25"/>
  <c r="J57" i="25"/>
  <c r="I57" i="25"/>
  <c r="H57" i="25"/>
  <c r="G57" i="25"/>
  <c r="F57" i="25"/>
  <c r="E57" i="25"/>
  <c r="D57" i="25"/>
  <c r="K43" i="25"/>
  <c r="J43" i="25"/>
  <c r="I43" i="25"/>
  <c r="H43" i="25"/>
  <c r="G43" i="25"/>
  <c r="F43" i="25"/>
  <c r="E43" i="25"/>
  <c r="D43" i="25"/>
  <c r="G30" i="25"/>
  <c r="F30" i="25"/>
  <c r="E30" i="25"/>
  <c r="H29" i="25"/>
  <c r="H28" i="25"/>
  <c r="H27" i="25"/>
  <c r="D27" i="25"/>
  <c r="D30" i="25" s="1"/>
  <c r="H30" i="25" s="1"/>
  <c r="H26" i="25"/>
  <c r="H25" i="25"/>
  <c r="H24" i="25"/>
  <c r="H23" i="25"/>
  <c r="O19" i="25"/>
  <c r="N19" i="25"/>
  <c r="M19" i="25"/>
  <c r="L19" i="25"/>
  <c r="K19" i="25"/>
  <c r="I19" i="25"/>
  <c r="H19" i="25"/>
  <c r="F19" i="25"/>
  <c r="E19" i="25"/>
  <c r="D19" i="25"/>
  <c r="H18" i="25"/>
  <c r="H17" i="25"/>
  <c r="H16" i="25"/>
  <c r="H15" i="25"/>
  <c r="H14" i="25"/>
  <c r="H13" i="25"/>
  <c r="H12" i="25"/>
  <c r="G102" i="25" l="1"/>
  <c r="F149" i="25"/>
  <c r="F171" i="24" l="1"/>
  <c r="C171" i="24"/>
  <c r="I166" i="24"/>
  <c r="I171" i="24" s="1"/>
  <c r="H166" i="24"/>
  <c r="H171" i="24" s="1"/>
  <c r="G166" i="24"/>
  <c r="G171" i="24" s="1"/>
  <c r="F166" i="24"/>
  <c r="E166" i="24"/>
  <c r="E171" i="24" s="1"/>
  <c r="D166" i="24"/>
  <c r="D171" i="24" s="1"/>
  <c r="C166" i="24"/>
  <c r="G162" i="24"/>
  <c r="F162" i="24"/>
  <c r="E162" i="24"/>
  <c r="D162" i="24"/>
  <c r="L149" i="24"/>
  <c r="K149" i="24"/>
  <c r="J149" i="24"/>
  <c r="I149" i="24"/>
  <c r="H149" i="24"/>
  <c r="F149" i="24"/>
  <c r="E149" i="24"/>
  <c r="D149" i="24"/>
  <c r="G148" i="24"/>
  <c r="G147" i="24"/>
  <c r="G146" i="24"/>
  <c r="G145" i="24"/>
  <c r="G144" i="24"/>
  <c r="G149" i="24" s="1"/>
  <c r="G143" i="24"/>
  <c r="G142" i="24"/>
  <c r="O138" i="24"/>
  <c r="N138" i="24"/>
  <c r="M138" i="24"/>
  <c r="L138" i="24"/>
  <c r="K138" i="24"/>
  <c r="J138" i="24"/>
  <c r="I138" i="24"/>
  <c r="H138" i="24"/>
  <c r="F138" i="24"/>
  <c r="E138" i="24"/>
  <c r="D138" i="24"/>
  <c r="G137" i="24"/>
  <c r="G136" i="24"/>
  <c r="G135" i="24"/>
  <c r="G134" i="24"/>
  <c r="G133" i="24"/>
  <c r="G132" i="24"/>
  <c r="G138" i="24" s="1"/>
  <c r="G131" i="24"/>
  <c r="I125" i="24"/>
  <c r="G125" i="24"/>
  <c r="E125" i="24"/>
  <c r="K124" i="24"/>
  <c r="J124" i="24"/>
  <c r="K123" i="24"/>
  <c r="J123" i="24"/>
  <c r="K122" i="24"/>
  <c r="J122" i="24"/>
  <c r="K121" i="24"/>
  <c r="J121" i="24"/>
  <c r="K120" i="24"/>
  <c r="J120" i="24"/>
  <c r="K119" i="24"/>
  <c r="J119" i="24"/>
  <c r="K118" i="24"/>
  <c r="K125" i="24" s="1"/>
  <c r="J118" i="24"/>
  <c r="J125" i="24" s="1"/>
  <c r="J115" i="24"/>
  <c r="I115" i="24"/>
  <c r="H115" i="24"/>
  <c r="F115" i="24"/>
  <c r="E115" i="24"/>
  <c r="D115" i="24"/>
  <c r="G114" i="24"/>
  <c r="G113" i="24"/>
  <c r="G112" i="24"/>
  <c r="G111" i="24"/>
  <c r="G110" i="24"/>
  <c r="G115" i="24" s="1"/>
  <c r="G109" i="24"/>
  <c r="G108" i="24"/>
  <c r="F102" i="24"/>
  <c r="E102" i="24"/>
  <c r="D102" i="24"/>
  <c r="G101" i="24"/>
  <c r="G100" i="24"/>
  <c r="G99" i="24"/>
  <c r="G98" i="24"/>
  <c r="G97" i="24"/>
  <c r="G96" i="24"/>
  <c r="G102" i="24" s="1"/>
  <c r="K92" i="24"/>
  <c r="J92" i="24"/>
  <c r="I92" i="24"/>
  <c r="H92" i="24"/>
  <c r="G92" i="24"/>
  <c r="F92" i="24"/>
  <c r="E92" i="24"/>
  <c r="D92" i="24"/>
  <c r="K81" i="24"/>
  <c r="J81" i="24"/>
  <c r="I81" i="24"/>
  <c r="H81" i="24"/>
  <c r="G81" i="24"/>
  <c r="F81" i="24"/>
  <c r="E81" i="24"/>
  <c r="D81" i="24"/>
  <c r="L70" i="24"/>
  <c r="K70" i="24"/>
  <c r="J70" i="24"/>
  <c r="I70" i="24"/>
  <c r="H70" i="24"/>
  <c r="G70" i="24"/>
  <c r="F70" i="24"/>
  <c r="E70" i="24"/>
  <c r="D70" i="24"/>
  <c r="K57" i="24"/>
  <c r="J57" i="24"/>
  <c r="I57" i="24"/>
  <c r="H57" i="24"/>
  <c r="G57" i="24"/>
  <c r="F57" i="24"/>
  <c r="E57" i="24"/>
  <c r="D57" i="24"/>
  <c r="K43" i="24"/>
  <c r="J43" i="24"/>
  <c r="I43" i="24"/>
  <c r="H43" i="24"/>
  <c r="G43" i="24"/>
  <c r="F43" i="24"/>
  <c r="E43" i="24"/>
  <c r="D43" i="24"/>
  <c r="G30" i="24"/>
  <c r="F30" i="24"/>
  <c r="E30" i="24"/>
  <c r="D30" i="24"/>
  <c r="H30" i="24" s="1"/>
  <c r="H29" i="24"/>
  <c r="H28" i="24"/>
  <c r="H27" i="24"/>
  <c r="H26" i="24"/>
  <c r="H25" i="24"/>
  <c r="H24" i="24"/>
  <c r="H23" i="24"/>
  <c r="O19" i="24"/>
  <c r="N19" i="24"/>
  <c r="M19" i="24"/>
  <c r="L19" i="24"/>
  <c r="K19" i="24"/>
  <c r="I19" i="24"/>
  <c r="H19" i="24"/>
  <c r="F19" i="24"/>
  <c r="E19" i="24"/>
  <c r="D19" i="24"/>
  <c r="H18" i="24"/>
  <c r="H17" i="24"/>
  <c r="H16" i="24"/>
  <c r="H15" i="24"/>
  <c r="H14" i="24"/>
  <c r="H13" i="24"/>
  <c r="H12" i="24"/>
  <c r="F171" i="23" l="1"/>
  <c r="I166" i="23"/>
  <c r="I171" i="23" s="1"/>
  <c r="H166" i="23"/>
  <c r="H171" i="23" s="1"/>
  <c r="G166" i="23"/>
  <c r="G171" i="23" s="1"/>
  <c r="F166" i="23"/>
  <c r="E166" i="23"/>
  <c r="E171" i="23" s="1"/>
  <c r="D166" i="23"/>
  <c r="D171" i="23" s="1"/>
  <c r="C166" i="23"/>
  <c r="C171" i="23" s="1"/>
  <c r="G162" i="23"/>
  <c r="F162" i="23"/>
  <c r="E162" i="23"/>
  <c r="D162" i="23"/>
  <c r="L149" i="23"/>
  <c r="K149" i="23"/>
  <c r="J149" i="23"/>
  <c r="I149" i="23"/>
  <c r="H149" i="23"/>
  <c r="F149" i="23"/>
  <c r="E149" i="23"/>
  <c r="D149" i="23"/>
  <c r="G148" i="23"/>
  <c r="G147" i="23"/>
  <c r="K146" i="23"/>
  <c r="G146" i="23"/>
  <c r="G145" i="23"/>
  <c r="G149" i="23" s="1"/>
  <c r="G144" i="23"/>
  <c r="G143" i="23"/>
  <c r="G142" i="23"/>
  <c r="O138" i="23"/>
  <c r="N138" i="23"/>
  <c r="M138" i="23"/>
  <c r="L138" i="23"/>
  <c r="K138" i="23"/>
  <c r="J138" i="23"/>
  <c r="I138" i="23"/>
  <c r="F138" i="23"/>
  <c r="E138" i="23"/>
  <c r="D138" i="23"/>
  <c r="G137" i="23"/>
  <c r="G136" i="23"/>
  <c r="H135" i="23"/>
  <c r="H138" i="23" s="1"/>
  <c r="G135" i="23"/>
  <c r="G134" i="23"/>
  <c r="G138" i="23" s="1"/>
  <c r="G133" i="23"/>
  <c r="G132" i="23"/>
  <c r="G131" i="23"/>
  <c r="K125" i="23"/>
  <c r="I125" i="23"/>
  <c r="G125" i="23"/>
  <c r="E125" i="23"/>
  <c r="K124" i="23"/>
  <c r="J124" i="23"/>
  <c r="K123" i="23"/>
  <c r="J123" i="23"/>
  <c r="K122" i="23"/>
  <c r="J122" i="23"/>
  <c r="K121" i="23"/>
  <c r="J121" i="23"/>
  <c r="K120" i="23"/>
  <c r="J120" i="23"/>
  <c r="K119" i="23"/>
  <c r="J119" i="23"/>
  <c r="K118" i="23"/>
  <c r="J118" i="23"/>
  <c r="J125" i="23" s="1"/>
  <c r="J115" i="23"/>
  <c r="I115" i="23"/>
  <c r="H115" i="23"/>
  <c r="F115" i="23"/>
  <c r="E115" i="23"/>
  <c r="D115" i="23"/>
  <c r="G114" i="23"/>
  <c r="G113" i="23"/>
  <c r="G112" i="23"/>
  <c r="G111" i="23"/>
  <c r="G110" i="23"/>
  <c r="G109" i="23"/>
  <c r="G108" i="23"/>
  <c r="G115" i="23" s="1"/>
  <c r="F102" i="23"/>
  <c r="E102" i="23"/>
  <c r="D102" i="23"/>
  <c r="G101" i="23"/>
  <c r="G100" i="23"/>
  <c r="G99" i="23"/>
  <c r="G98" i="23"/>
  <c r="G97" i="23"/>
  <c r="G96" i="23"/>
  <c r="G102" i="23" s="1"/>
  <c r="K92" i="23"/>
  <c r="J92" i="23"/>
  <c r="I92" i="23"/>
  <c r="H92" i="23"/>
  <c r="G92" i="23"/>
  <c r="F92" i="23"/>
  <c r="E92" i="23"/>
  <c r="D92" i="23"/>
  <c r="K81" i="23"/>
  <c r="J81" i="23"/>
  <c r="I81" i="23"/>
  <c r="H81" i="23"/>
  <c r="G81" i="23"/>
  <c r="F81" i="23"/>
  <c r="E81" i="23"/>
  <c r="D81" i="23"/>
  <c r="L70" i="23"/>
  <c r="K70" i="23"/>
  <c r="J70" i="23"/>
  <c r="I70" i="23"/>
  <c r="H70" i="23"/>
  <c r="G70" i="23"/>
  <c r="F70" i="23"/>
  <c r="E70" i="23"/>
  <c r="D70" i="23"/>
  <c r="K57" i="23"/>
  <c r="J57" i="23"/>
  <c r="I57" i="23"/>
  <c r="H57" i="23"/>
  <c r="G57" i="23"/>
  <c r="F57" i="23"/>
  <c r="E57" i="23"/>
  <c r="D57" i="23"/>
  <c r="K43" i="23"/>
  <c r="J43" i="23"/>
  <c r="I43" i="23"/>
  <c r="H43" i="23"/>
  <c r="G43" i="23"/>
  <c r="F43" i="23"/>
  <c r="E43" i="23"/>
  <c r="D43" i="23"/>
  <c r="G30" i="23"/>
  <c r="F30" i="23"/>
  <c r="E30" i="23"/>
  <c r="H29" i="23"/>
  <c r="H28" i="23"/>
  <c r="D27" i="23"/>
  <c r="D30" i="23" s="1"/>
  <c r="H30" i="23" s="1"/>
  <c r="H26" i="23"/>
  <c r="H25" i="23"/>
  <c r="H24" i="23"/>
  <c r="H23" i="23"/>
  <c r="O19" i="23"/>
  <c r="N19" i="23"/>
  <c r="M19" i="23"/>
  <c r="L19" i="23"/>
  <c r="K19" i="23"/>
  <c r="I19" i="23"/>
  <c r="F19" i="23"/>
  <c r="E19" i="23"/>
  <c r="D19" i="23"/>
  <c r="H19" i="23" s="1"/>
  <c r="H18" i="23"/>
  <c r="H17" i="23"/>
  <c r="H16" i="23"/>
  <c r="H15" i="23"/>
  <c r="H14" i="23"/>
  <c r="H13" i="23"/>
  <c r="H12" i="23"/>
  <c r="H27" i="23" l="1"/>
  <c r="F171" i="1" l="1"/>
  <c r="C171" i="1"/>
  <c r="G170" i="1"/>
  <c r="G171" i="1" s="1"/>
  <c r="G168" i="1"/>
  <c r="G167" i="1"/>
  <c r="I166" i="1"/>
  <c r="I171" i="1" s="1"/>
  <c r="H166" i="1"/>
  <c r="H171" i="1" s="1"/>
  <c r="G166" i="1"/>
  <c r="F166" i="1"/>
  <c r="E166" i="1"/>
  <c r="E171" i="1" s="1"/>
  <c r="D166" i="1"/>
  <c r="D171" i="1" s="1"/>
  <c r="C166" i="1"/>
  <c r="G162" i="1"/>
  <c r="F162" i="1"/>
  <c r="E162" i="1"/>
  <c r="D162" i="1"/>
  <c r="L149" i="1"/>
  <c r="K149" i="1"/>
  <c r="J149" i="1"/>
  <c r="I149" i="1"/>
  <c r="H149" i="1"/>
  <c r="F149" i="1"/>
  <c r="G148" i="1"/>
  <c r="G147" i="1"/>
  <c r="K146" i="1"/>
  <c r="E146" i="1"/>
  <c r="E149" i="1" s="1"/>
  <c r="D146" i="1"/>
  <c r="D149" i="1" s="1"/>
  <c r="G145" i="1"/>
  <c r="G144" i="1"/>
  <c r="G143" i="1"/>
  <c r="G142" i="1"/>
  <c r="N138" i="1"/>
  <c r="M138" i="1"/>
  <c r="L138" i="1"/>
  <c r="J138" i="1"/>
  <c r="I138" i="1"/>
  <c r="H138" i="1"/>
  <c r="F138" i="1"/>
  <c r="D138" i="1"/>
  <c r="G137" i="1"/>
  <c r="G136" i="1"/>
  <c r="O135" i="1"/>
  <c r="O138" i="1" s="1"/>
  <c r="K135" i="1"/>
  <c r="K138" i="1" s="1"/>
  <c r="I135" i="1"/>
  <c r="H135" i="1"/>
  <c r="E135" i="1"/>
  <c r="E138" i="1" s="1"/>
  <c r="D135" i="1"/>
  <c r="G134" i="1"/>
  <c r="G133" i="1"/>
  <c r="G132" i="1"/>
  <c r="G131" i="1"/>
  <c r="I125" i="1"/>
  <c r="G125" i="1"/>
  <c r="E125" i="1"/>
  <c r="K124" i="1"/>
  <c r="J124" i="1"/>
  <c r="K123" i="1"/>
  <c r="J123" i="1"/>
  <c r="K122" i="1"/>
  <c r="J122" i="1"/>
  <c r="K121" i="1"/>
  <c r="J121" i="1"/>
  <c r="K120" i="1"/>
  <c r="J120" i="1"/>
  <c r="K119" i="1"/>
  <c r="J119" i="1"/>
  <c r="K118" i="1"/>
  <c r="K125" i="1" s="1"/>
  <c r="J118" i="1"/>
  <c r="J125" i="1" s="1"/>
  <c r="J115" i="1"/>
  <c r="I115" i="1"/>
  <c r="H115" i="1"/>
  <c r="F115" i="1"/>
  <c r="E115" i="1"/>
  <c r="D115" i="1"/>
  <c r="G114" i="1"/>
  <c r="G113" i="1"/>
  <c r="G112" i="1"/>
  <c r="G111" i="1"/>
  <c r="G110" i="1"/>
  <c r="G115" i="1" s="1"/>
  <c r="G109" i="1"/>
  <c r="G108" i="1"/>
  <c r="F102" i="1"/>
  <c r="E102" i="1"/>
  <c r="D102" i="1"/>
  <c r="G101" i="1"/>
  <c r="G100" i="1"/>
  <c r="G99" i="1"/>
  <c r="G98" i="1"/>
  <c r="G97" i="1"/>
  <c r="G96" i="1"/>
  <c r="K92" i="1"/>
  <c r="J92" i="1"/>
  <c r="I92" i="1"/>
  <c r="H92" i="1"/>
  <c r="G92" i="1"/>
  <c r="F92" i="1"/>
  <c r="E92" i="1"/>
  <c r="D92" i="1"/>
  <c r="K81" i="1"/>
  <c r="J81" i="1"/>
  <c r="I81" i="1"/>
  <c r="H81" i="1"/>
  <c r="G81" i="1"/>
  <c r="F81" i="1"/>
  <c r="E81" i="1"/>
  <c r="D81" i="1"/>
  <c r="L70" i="1"/>
  <c r="K70" i="1"/>
  <c r="J70" i="1"/>
  <c r="I70" i="1"/>
  <c r="H70" i="1"/>
  <c r="G70" i="1"/>
  <c r="F70" i="1"/>
  <c r="E70" i="1"/>
  <c r="D70" i="1"/>
  <c r="K57" i="1"/>
  <c r="J57" i="1"/>
  <c r="I57" i="1"/>
  <c r="H57" i="1"/>
  <c r="G57" i="1"/>
  <c r="F57" i="1"/>
  <c r="E57" i="1"/>
  <c r="D57" i="1"/>
  <c r="K43" i="1"/>
  <c r="J43" i="1"/>
  <c r="I43" i="1"/>
  <c r="H43" i="1"/>
  <c r="F43" i="1"/>
  <c r="E43" i="1"/>
  <c r="D43" i="1"/>
  <c r="G40" i="1"/>
  <c r="G43" i="1" s="1"/>
  <c r="E40" i="1"/>
  <c r="F30" i="1"/>
  <c r="D30" i="1"/>
  <c r="H29" i="1"/>
  <c r="H28" i="1"/>
  <c r="G27" i="1"/>
  <c r="G30" i="1" s="1"/>
  <c r="E27" i="1"/>
  <c r="E30" i="1" s="1"/>
  <c r="D27" i="1"/>
  <c r="H27" i="1" s="1"/>
  <c r="H26" i="1"/>
  <c r="H25" i="1"/>
  <c r="H24" i="1"/>
  <c r="H23" i="1"/>
  <c r="N19" i="1"/>
  <c r="M19" i="1"/>
  <c r="L19" i="1"/>
  <c r="F19" i="1"/>
  <c r="H18" i="1"/>
  <c r="H17" i="1"/>
  <c r="O16" i="1"/>
  <c r="O19" i="1" s="1"/>
  <c r="N16" i="1"/>
  <c r="K16" i="1"/>
  <c r="K19" i="1" s="1"/>
  <c r="J16" i="1"/>
  <c r="J19" i="1" s="1"/>
  <c r="I16" i="1"/>
  <c r="I19" i="1" s="1"/>
  <c r="G16" i="1"/>
  <c r="G19" i="1" s="1"/>
  <c r="E16" i="1"/>
  <c r="E19" i="1" s="1"/>
  <c r="D16" i="1"/>
  <c r="D19" i="1" s="1"/>
  <c r="H15" i="1"/>
  <c r="H14" i="1"/>
  <c r="H13" i="1"/>
  <c r="H12" i="1"/>
  <c r="G102" i="1" l="1"/>
  <c r="H30" i="1"/>
  <c r="H19" i="1"/>
  <c r="G135" i="1"/>
  <c r="G138" i="1" s="1"/>
  <c r="H16" i="1"/>
  <c r="G146" i="1"/>
  <c r="G149" i="1" s="1"/>
  <c r="F171" i="6" l="1"/>
  <c r="G170" i="6"/>
  <c r="G169" i="6"/>
  <c r="G167" i="6"/>
  <c r="I166" i="6"/>
  <c r="I171" i="6" s="1"/>
  <c r="H166" i="6"/>
  <c r="H171" i="6" s="1"/>
  <c r="G166" i="6"/>
  <c r="G171" i="6" s="1"/>
  <c r="F166" i="6"/>
  <c r="E166" i="6"/>
  <c r="E171" i="6" s="1"/>
  <c r="D166" i="6"/>
  <c r="D171" i="6" s="1"/>
  <c r="C166" i="6"/>
  <c r="C171" i="6" s="1"/>
  <c r="G162" i="6"/>
  <c r="F162" i="6"/>
  <c r="E162" i="6"/>
  <c r="D162" i="6"/>
  <c r="L149" i="6"/>
  <c r="K149" i="6"/>
  <c r="J149" i="6"/>
  <c r="H149" i="6"/>
  <c r="F149" i="6"/>
  <c r="E149" i="6"/>
  <c r="D149" i="6"/>
  <c r="G148" i="6"/>
  <c r="G147" i="6"/>
  <c r="I146" i="6"/>
  <c r="I149" i="6" s="1"/>
  <c r="G146" i="6"/>
  <c r="G145" i="6"/>
  <c r="G144" i="6"/>
  <c r="G143" i="6"/>
  <c r="G142" i="6"/>
  <c r="G149" i="6" s="1"/>
  <c r="O138" i="6"/>
  <c r="N138" i="6"/>
  <c r="M138" i="6"/>
  <c r="L138" i="6"/>
  <c r="J138" i="6"/>
  <c r="H138" i="6"/>
  <c r="F138" i="6"/>
  <c r="E138" i="6"/>
  <c r="G137" i="6"/>
  <c r="G136" i="6"/>
  <c r="N135" i="6"/>
  <c r="K135" i="6"/>
  <c r="K138" i="6" s="1"/>
  <c r="J135" i="6"/>
  <c r="I135" i="6"/>
  <c r="I138" i="6" s="1"/>
  <c r="D135" i="6"/>
  <c r="G135" i="6" s="1"/>
  <c r="G134" i="6"/>
  <c r="G133" i="6"/>
  <c r="G132" i="6"/>
  <c r="G131" i="6"/>
  <c r="G138" i="6" s="1"/>
  <c r="J125" i="6"/>
  <c r="I125" i="6"/>
  <c r="G125" i="6"/>
  <c r="E125" i="6"/>
  <c r="K124" i="6"/>
  <c r="J124" i="6"/>
  <c r="K123" i="6"/>
  <c r="J123" i="6"/>
  <c r="K122" i="6"/>
  <c r="J122" i="6"/>
  <c r="K121" i="6"/>
  <c r="J121" i="6"/>
  <c r="K120" i="6"/>
  <c r="J120" i="6"/>
  <c r="K119" i="6"/>
  <c r="J119" i="6"/>
  <c r="K118" i="6"/>
  <c r="K125" i="6" s="1"/>
  <c r="J118" i="6"/>
  <c r="J115" i="6"/>
  <c r="I115" i="6"/>
  <c r="H115" i="6"/>
  <c r="F115" i="6"/>
  <c r="E115" i="6"/>
  <c r="D115" i="6"/>
  <c r="G114" i="6"/>
  <c r="G113" i="6"/>
  <c r="G112" i="6"/>
  <c r="G111" i="6"/>
  <c r="G110" i="6"/>
  <c r="G109" i="6"/>
  <c r="G108" i="6"/>
  <c r="G115" i="6" s="1"/>
  <c r="F102" i="6"/>
  <c r="E102" i="6"/>
  <c r="D102" i="6"/>
  <c r="G101" i="6"/>
  <c r="G100" i="6"/>
  <c r="G99" i="6"/>
  <c r="G98" i="6"/>
  <c r="G97" i="6"/>
  <c r="G102" i="6" s="1"/>
  <c r="G96" i="6"/>
  <c r="K92" i="6"/>
  <c r="J92" i="6"/>
  <c r="I92" i="6"/>
  <c r="H92" i="6"/>
  <c r="G92" i="6"/>
  <c r="F92" i="6"/>
  <c r="E92" i="6"/>
  <c r="D92" i="6"/>
  <c r="K81" i="6"/>
  <c r="J81" i="6"/>
  <c r="I81" i="6"/>
  <c r="H81" i="6"/>
  <c r="G81" i="6"/>
  <c r="F81" i="6"/>
  <c r="E81" i="6"/>
  <c r="D81" i="6"/>
  <c r="L70" i="6"/>
  <c r="K70" i="6"/>
  <c r="J70" i="6"/>
  <c r="I70" i="6"/>
  <c r="H70" i="6"/>
  <c r="G70" i="6"/>
  <c r="F70" i="6"/>
  <c r="E70" i="6"/>
  <c r="D70" i="6"/>
  <c r="K57" i="6"/>
  <c r="J57" i="6"/>
  <c r="I57" i="6"/>
  <c r="H57" i="6"/>
  <c r="G57" i="6"/>
  <c r="F57" i="6"/>
  <c r="E57" i="6"/>
  <c r="D57" i="6"/>
  <c r="K43" i="6"/>
  <c r="J43" i="6"/>
  <c r="I43" i="6"/>
  <c r="H43" i="6"/>
  <c r="G43" i="6"/>
  <c r="F43" i="6"/>
  <c r="F40" i="6"/>
  <c r="E40" i="6"/>
  <c r="E43" i="6" s="1"/>
  <c r="G30" i="6"/>
  <c r="F30" i="6"/>
  <c r="E30" i="6"/>
  <c r="H29" i="6"/>
  <c r="H28" i="6"/>
  <c r="F27" i="6"/>
  <c r="D27" i="6"/>
  <c r="H27" i="6" s="1"/>
  <c r="H26" i="6"/>
  <c r="H25" i="6"/>
  <c r="H24" i="6"/>
  <c r="H23" i="6"/>
  <c r="O19" i="6"/>
  <c r="M19" i="6"/>
  <c r="L19" i="6"/>
  <c r="K19" i="6"/>
  <c r="F19" i="6"/>
  <c r="E19" i="6"/>
  <c r="H18" i="6"/>
  <c r="H17" i="6"/>
  <c r="O16" i="6"/>
  <c r="N16" i="6"/>
  <c r="N19" i="6" s="1"/>
  <c r="K16" i="6"/>
  <c r="J16" i="6"/>
  <c r="J19" i="6" s="1"/>
  <c r="I16" i="6"/>
  <c r="I19" i="6" s="1"/>
  <c r="F16" i="6"/>
  <c r="D16" i="6"/>
  <c r="D19" i="6" s="1"/>
  <c r="H19" i="6" s="1"/>
  <c r="H15" i="6"/>
  <c r="H14" i="6"/>
  <c r="H13" i="6"/>
  <c r="H12" i="6"/>
  <c r="H16" i="6" l="1"/>
  <c r="D30" i="6"/>
  <c r="H30" i="6" s="1"/>
  <c r="D138" i="6"/>
  <c r="D40" i="6"/>
  <c r="D43" i="6" s="1"/>
  <c r="F171" i="9" l="1"/>
  <c r="I166" i="9"/>
  <c r="I171" i="9" s="1"/>
  <c r="H166" i="9"/>
  <c r="H171" i="9" s="1"/>
  <c r="G166" i="9"/>
  <c r="G171" i="9" s="1"/>
  <c r="F166" i="9"/>
  <c r="E166" i="9"/>
  <c r="E171" i="9" s="1"/>
  <c r="D166" i="9"/>
  <c r="D171" i="9" s="1"/>
  <c r="C166" i="9"/>
  <c r="C171" i="9" s="1"/>
  <c r="G162" i="9"/>
  <c r="F162" i="9"/>
  <c r="E162" i="9"/>
  <c r="D162" i="9"/>
  <c r="L149" i="9"/>
  <c r="K149" i="9"/>
  <c r="J149" i="9"/>
  <c r="I149" i="9"/>
  <c r="H149" i="9"/>
  <c r="F149" i="9"/>
  <c r="E149" i="9"/>
  <c r="D149" i="9"/>
  <c r="G148" i="9"/>
  <c r="G147" i="9"/>
  <c r="G146" i="9"/>
  <c r="G145" i="9"/>
  <c r="G144" i="9"/>
  <c r="G149" i="9" s="1"/>
  <c r="G143" i="9"/>
  <c r="G142" i="9"/>
  <c r="O138" i="9"/>
  <c r="N138" i="9"/>
  <c r="M138" i="9"/>
  <c r="L138" i="9"/>
  <c r="K138" i="9"/>
  <c r="J138" i="9"/>
  <c r="I138" i="9"/>
  <c r="H138" i="9"/>
  <c r="F138" i="9"/>
  <c r="E138" i="9"/>
  <c r="D138" i="9"/>
  <c r="G137" i="9"/>
  <c r="G136" i="9"/>
  <c r="G135" i="9"/>
  <c r="G134" i="9"/>
  <c r="G133" i="9"/>
  <c r="G132" i="9"/>
  <c r="G131" i="9"/>
  <c r="G138" i="9" s="1"/>
  <c r="I125" i="9"/>
  <c r="G125" i="9"/>
  <c r="E125" i="9"/>
  <c r="K124" i="9"/>
  <c r="J124" i="9"/>
  <c r="K123" i="9"/>
  <c r="J123" i="9"/>
  <c r="K122" i="9"/>
  <c r="J122" i="9"/>
  <c r="K121" i="9"/>
  <c r="J121" i="9"/>
  <c r="K120" i="9"/>
  <c r="J120" i="9"/>
  <c r="K119" i="9"/>
  <c r="J119" i="9"/>
  <c r="K118" i="9"/>
  <c r="K125" i="9" s="1"/>
  <c r="J118" i="9"/>
  <c r="J125" i="9" s="1"/>
  <c r="J115" i="9"/>
  <c r="I115" i="9"/>
  <c r="H115" i="9"/>
  <c r="F115" i="9"/>
  <c r="E115" i="9"/>
  <c r="D115" i="9"/>
  <c r="G114" i="9"/>
  <c r="G113" i="9"/>
  <c r="G112" i="9"/>
  <c r="G111" i="9"/>
  <c r="G110" i="9"/>
  <c r="G115" i="9" s="1"/>
  <c r="G109" i="9"/>
  <c r="G108" i="9"/>
  <c r="F102" i="9"/>
  <c r="E102" i="9"/>
  <c r="D102" i="9"/>
  <c r="G101" i="9"/>
  <c r="G100" i="9"/>
  <c r="G99" i="9"/>
  <c r="G98" i="9"/>
  <c r="G97" i="9"/>
  <c r="G96" i="9"/>
  <c r="G102" i="9" s="1"/>
  <c r="K92" i="9"/>
  <c r="J92" i="9"/>
  <c r="I92" i="9"/>
  <c r="H92" i="9"/>
  <c r="G92" i="9"/>
  <c r="F92" i="9"/>
  <c r="E92" i="9"/>
  <c r="D92" i="9"/>
  <c r="K81" i="9"/>
  <c r="J81" i="9"/>
  <c r="I81" i="9"/>
  <c r="H81" i="9"/>
  <c r="G81" i="9"/>
  <c r="F81" i="9"/>
  <c r="E81" i="9"/>
  <c r="D81" i="9"/>
  <c r="L70" i="9"/>
  <c r="K70" i="9"/>
  <c r="J70" i="9"/>
  <c r="I70" i="9"/>
  <c r="H70" i="9"/>
  <c r="G70" i="9"/>
  <c r="F70" i="9"/>
  <c r="E70" i="9"/>
  <c r="D70" i="9"/>
  <c r="K57" i="9"/>
  <c r="J57" i="9"/>
  <c r="I57" i="9"/>
  <c r="H57" i="9"/>
  <c r="G57" i="9"/>
  <c r="F57" i="9"/>
  <c r="E57" i="9"/>
  <c r="D57" i="9"/>
  <c r="K43" i="9"/>
  <c r="J43" i="9"/>
  <c r="I43" i="9"/>
  <c r="H43" i="9"/>
  <c r="G43" i="9"/>
  <c r="F43" i="9"/>
  <c r="E43" i="9"/>
  <c r="D43" i="9"/>
  <c r="G30" i="9"/>
  <c r="F30" i="9"/>
  <c r="E30" i="9"/>
  <c r="D30" i="9"/>
  <c r="H30" i="9" s="1"/>
  <c r="H29" i="9"/>
  <c r="H28" i="9"/>
  <c r="H27" i="9"/>
  <c r="H23" i="9"/>
  <c r="O19" i="9"/>
  <c r="N19" i="9"/>
  <c r="M19" i="9"/>
  <c r="L19" i="9"/>
  <c r="K19" i="9"/>
  <c r="I19" i="9"/>
  <c r="F19" i="9"/>
  <c r="E19" i="9"/>
  <c r="D19" i="9"/>
  <c r="H19" i="9" s="1"/>
  <c r="H18" i="9"/>
  <c r="H17" i="9"/>
  <c r="H16" i="9"/>
  <c r="H12" i="9"/>
  <c r="G171" i="14" l="1"/>
  <c r="F171" i="14"/>
  <c r="C171" i="14"/>
  <c r="I166" i="14"/>
  <c r="I171" i="14" s="1"/>
  <c r="H166" i="14"/>
  <c r="H171" i="14" s="1"/>
  <c r="G166" i="14"/>
  <c r="F166" i="14"/>
  <c r="E166" i="14"/>
  <c r="E171" i="14" s="1"/>
  <c r="D166" i="14"/>
  <c r="D171" i="14" s="1"/>
  <c r="C166" i="14"/>
  <c r="G162" i="14"/>
  <c r="F162" i="14"/>
  <c r="E162" i="14"/>
  <c r="D162" i="14"/>
  <c r="L149" i="14"/>
  <c r="K149" i="14"/>
  <c r="J149" i="14"/>
  <c r="I149" i="14"/>
  <c r="H149" i="14"/>
  <c r="F149" i="14"/>
  <c r="E149" i="14"/>
  <c r="D149" i="14"/>
  <c r="G148" i="14"/>
  <c r="G147" i="14"/>
  <c r="G146" i="14"/>
  <c r="G145" i="14"/>
  <c r="G144" i="14"/>
  <c r="G149" i="14" s="1"/>
  <c r="G143" i="14"/>
  <c r="G142" i="14"/>
  <c r="O138" i="14"/>
  <c r="N138" i="14"/>
  <c r="M138" i="14"/>
  <c r="L138" i="14"/>
  <c r="K138" i="14"/>
  <c r="J138" i="14"/>
  <c r="I138" i="14"/>
  <c r="H138" i="14"/>
  <c r="F138" i="14"/>
  <c r="E138" i="14"/>
  <c r="D138" i="14"/>
  <c r="G137" i="14"/>
  <c r="G136" i="14"/>
  <c r="G135" i="14"/>
  <c r="G134" i="14"/>
  <c r="G133" i="14"/>
  <c r="G132" i="14"/>
  <c r="G138" i="14" s="1"/>
  <c r="G131" i="14"/>
  <c r="I125" i="14"/>
  <c r="G125" i="14"/>
  <c r="E125" i="14"/>
  <c r="K124" i="14"/>
  <c r="J124" i="14"/>
  <c r="K123" i="14"/>
  <c r="J123" i="14"/>
  <c r="K122" i="14"/>
  <c r="J122" i="14"/>
  <c r="K121" i="14"/>
  <c r="J121" i="14"/>
  <c r="K120" i="14"/>
  <c r="J120" i="14"/>
  <c r="K119" i="14"/>
  <c r="J119" i="14"/>
  <c r="K118" i="14"/>
  <c r="K125" i="14" s="1"/>
  <c r="J118" i="14"/>
  <c r="J125" i="14" s="1"/>
  <c r="J115" i="14"/>
  <c r="I115" i="14"/>
  <c r="H115" i="14"/>
  <c r="F115" i="14"/>
  <c r="E115" i="14"/>
  <c r="D115" i="14"/>
  <c r="G114" i="14"/>
  <c r="G113" i="14"/>
  <c r="G112" i="14"/>
  <c r="G111" i="14"/>
  <c r="G110" i="14"/>
  <c r="G115" i="14" s="1"/>
  <c r="G109" i="14"/>
  <c r="G108" i="14"/>
  <c r="F102" i="14"/>
  <c r="E102" i="14"/>
  <c r="D102" i="14"/>
  <c r="G101" i="14"/>
  <c r="G100" i="14"/>
  <c r="G99" i="14"/>
  <c r="G98" i="14"/>
  <c r="G97" i="14"/>
  <c r="G96" i="14"/>
  <c r="G102" i="14" s="1"/>
  <c r="K92" i="14"/>
  <c r="J92" i="14"/>
  <c r="I92" i="14"/>
  <c r="H92" i="14"/>
  <c r="G92" i="14"/>
  <c r="F92" i="14"/>
  <c r="E92" i="14"/>
  <c r="D92" i="14"/>
  <c r="K81" i="14"/>
  <c r="J81" i="14"/>
  <c r="I81" i="14"/>
  <c r="H81" i="14"/>
  <c r="G81" i="14"/>
  <c r="F81" i="14"/>
  <c r="E81" i="14"/>
  <c r="D81" i="14"/>
  <c r="L70" i="14"/>
  <c r="K70" i="14"/>
  <c r="J70" i="14"/>
  <c r="I70" i="14"/>
  <c r="H70" i="14"/>
  <c r="G70" i="14"/>
  <c r="F70" i="14"/>
  <c r="E70" i="14"/>
  <c r="D70" i="14"/>
  <c r="K57" i="14"/>
  <c r="J57" i="14"/>
  <c r="I57" i="14"/>
  <c r="H57" i="14"/>
  <c r="G57" i="14"/>
  <c r="F57" i="14"/>
  <c r="E57" i="14"/>
  <c r="D57" i="14"/>
  <c r="K43" i="14"/>
  <c r="J43" i="14"/>
  <c r="I43" i="14"/>
  <c r="H43" i="14"/>
  <c r="G43" i="14"/>
  <c r="F43" i="14"/>
  <c r="E43" i="14"/>
  <c r="D43" i="14"/>
  <c r="G30" i="14"/>
  <c r="F30" i="14"/>
  <c r="E30" i="14"/>
  <c r="D30" i="14"/>
  <c r="H30" i="14" s="1"/>
  <c r="H29" i="14"/>
  <c r="H28" i="14"/>
  <c r="H27" i="14"/>
  <c r="H26" i="14"/>
  <c r="H25" i="14"/>
  <c r="H24" i="14"/>
  <c r="H23" i="14"/>
  <c r="O19" i="14"/>
  <c r="N19" i="14"/>
  <c r="M19" i="14"/>
  <c r="L19" i="14"/>
  <c r="K19" i="14"/>
  <c r="I19" i="14"/>
  <c r="G19" i="14"/>
  <c r="F19" i="14"/>
  <c r="E19" i="14"/>
  <c r="D19" i="14"/>
  <c r="H19" i="14" s="1"/>
  <c r="H18" i="14"/>
  <c r="H17" i="14"/>
  <c r="H16" i="14"/>
  <c r="H15" i="14"/>
  <c r="H14" i="14"/>
  <c r="H13" i="14"/>
  <c r="H12" i="14"/>
  <c r="G171" i="13" l="1"/>
  <c r="F171" i="13"/>
  <c r="C171" i="13"/>
  <c r="I166" i="13"/>
  <c r="I171" i="13" s="1"/>
  <c r="H166" i="13"/>
  <c r="H171" i="13" s="1"/>
  <c r="F166" i="13"/>
  <c r="E166" i="13"/>
  <c r="E171" i="13" s="1"/>
  <c r="D166" i="13"/>
  <c r="D171" i="13" s="1"/>
  <c r="C166" i="13"/>
  <c r="G162" i="13"/>
  <c r="F162" i="13"/>
  <c r="E162" i="13"/>
  <c r="D162" i="13"/>
  <c r="L149" i="13"/>
  <c r="K149" i="13"/>
  <c r="J149" i="13"/>
  <c r="I149" i="13"/>
  <c r="H149" i="13"/>
  <c r="F149" i="13"/>
  <c r="E149" i="13"/>
  <c r="D149" i="13"/>
  <c r="G148" i="13"/>
  <c r="G147" i="13"/>
  <c r="G146" i="13"/>
  <c r="G145" i="13"/>
  <c r="G144" i="13"/>
  <c r="G143" i="13"/>
  <c r="G149" i="13" s="1"/>
  <c r="G142" i="13"/>
  <c r="O138" i="13"/>
  <c r="N138" i="13"/>
  <c r="M138" i="13"/>
  <c r="L138" i="13"/>
  <c r="K138" i="13"/>
  <c r="J138" i="13"/>
  <c r="I138" i="13"/>
  <c r="H138" i="13"/>
  <c r="F138" i="13"/>
  <c r="E138" i="13"/>
  <c r="D138" i="13"/>
  <c r="G137" i="13"/>
  <c r="G136" i="13"/>
  <c r="G134" i="13"/>
  <c r="G133" i="13"/>
  <c r="G132" i="13"/>
  <c r="G131" i="13"/>
  <c r="G138" i="13" s="1"/>
  <c r="K125" i="13"/>
  <c r="I125" i="13"/>
  <c r="G125" i="13"/>
  <c r="E125" i="13"/>
  <c r="K124" i="13"/>
  <c r="J124" i="13"/>
  <c r="K123" i="13"/>
  <c r="J123" i="13"/>
  <c r="K122" i="13"/>
  <c r="J122" i="13"/>
  <c r="K121" i="13"/>
  <c r="J121" i="13"/>
  <c r="K120" i="13"/>
  <c r="J120" i="13"/>
  <c r="K119" i="13"/>
  <c r="J119" i="13"/>
  <c r="K118" i="13"/>
  <c r="J118" i="13"/>
  <c r="J125" i="13" s="1"/>
  <c r="J115" i="13"/>
  <c r="I115" i="13"/>
  <c r="H115" i="13"/>
  <c r="F115" i="13"/>
  <c r="E115" i="13"/>
  <c r="D115" i="13"/>
  <c r="G114" i="13"/>
  <c r="G113" i="13"/>
  <c r="G112" i="13"/>
  <c r="G111" i="13"/>
  <c r="G110" i="13"/>
  <c r="G109" i="13"/>
  <c r="G108" i="13"/>
  <c r="G115" i="13" s="1"/>
  <c r="F102" i="13"/>
  <c r="E102" i="13"/>
  <c r="D102" i="13"/>
  <c r="G101" i="13"/>
  <c r="G100" i="13"/>
  <c r="G99" i="13"/>
  <c r="G98" i="13"/>
  <c r="G97" i="13"/>
  <c r="G96" i="13"/>
  <c r="G102" i="13" s="1"/>
  <c r="K92" i="13"/>
  <c r="J92" i="13"/>
  <c r="I92" i="13"/>
  <c r="H92" i="13"/>
  <c r="G92" i="13"/>
  <c r="F92" i="13"/>
  <c r="E92" i="13"/>
  <c r="D92" i="13"/>
  <c r="K81" i="13"/>
  <c r="J81" i="13"/>
  <c r="I81" i="13"/>
  <c r="H81" i="13"/>
  <c r="G81" i="13"/>
  <c r="F81" i="13"/>
  <c r="E81" i="13"/>
  <c r="D81" i="13"/>
  <c r="L70" i="13"/>
  <c r="K70" i="13"/>
  <c r="J70" i="13"/>
  <c r="I70" i="13"/>
  <c r="H70" i="13"/>
  <c r="G70" i="13"/>
  <c r="F70" i="13"/>
  <c r="E70" i="13"/>
  <c r="D70" i="13"/>
  <c r="K57" i="13"/>
  <c r="J57" i="13"/>
  <c r="I57" i="13"/>
  <c r="H57" i="13"/>
  <c r="G57" i="13"/>
  <c r="F57" i="13"/>
  <c r="E57" i="13"/>
  <c r="D57" i="13"/>
  <c r="K43" i="13"/>
  <c r="J43" i="13"/>
  <c r="I43" i="13"/>
  <c r="H43" i="13"/>
  <c r="G43" i="13"/>
  <c r="F43" i="13"/>
  <c r="E43" i="13"/>
  <c r="D43" i="13"/>
  <c r="G30" i="13"/>
  <c r="F30" i="13"/>
  <c r="E30" i="13"/>
  <c r="D30" i="13"/>
  <c r="H30" i="13" s="1"/>
  <c r="H29" i="13"/>
  <c r="H28" i="13"/>
  <c r="H27" i="13"/>
  <c r="H26" i="13"/>
  <c r="H25" i="13"/>
  <c r="H24" i="13"/>
  <c r="H23" i="13"/>
  <c r="O19" i="13"/>
  <c r="N19" i="13"/>
  <c r="M19" i="13"/>
  <c r="L19" i="13"/>
  <c r="K19" i="13"/>
  <c r="I19" i="13"/>
  <c r="F19" i="13"/>
  <c r="E19" i="13"/>
  <c r="D19" i="13"/>
  <c r="H18" i="13"/>
  <c r="H17" i="13"/>
  <c r="H16" i="13"/>
  <c r="H15" i="13"/>
  <c r="H14" i="13"/>
  <c r="H13" i="13"/>
  <c r="H12" i="13"/>
  <c r="G171" i="12" l="1"/>
  <c r="F171" i="12"/>
  <c r="C171" i="12"/>
  <c r="I166" i="12"/>
  <c r="I171" i="12" s="1"/>
  <c r="H166" i="12"/>
  <c r="H171" i="12" s="1"/>
  <c r="G166" i="12"/>
  <c r="F166" i="12"/>
  <c r="E166" i="12"/>
  <c r="E171" i="12" s="1"/>
  <c r="D166" i="12"/>
  <c r="D171" i="12" s="1"/>
  <c r="C166" i="12"/>
  <c r="G162" i="12"/>
  <c r="F162" i="12"/>
  <c r="E162" i="12"/>
  <c r="D162" i="12"/>
  <c r="L149" i="12"/>
  <c r="K149" i="12"/>
  <c r="J149" i="12"/>
  <c r="I149" i="12"/>
  <c r="H149" i="12"/>
  <c r="F149" i="12"/>
  <c r="E149" i="12"/>
  <c r="D149" i="12"/>
  <c r="G148" i="12"/>
  <c r="G147" i="12"/>
  <c r="G146" i="12"/>
  <c r="G145" i="12"/>
  <c r="G144" i="12"/>
  <c r="G143" i="12"/>
  <c r="G149" i="12" s="1"/>
  <c r="G142" i="12"/>
  <c r="O138" i="12"/>
  <c r="N138" i="12"/>
  <c r="M138" i="12"/>
  <c r="L138" i="12"/>
  <c r="K138" i="12"/>
  <c r="J138" i="12"/>
  <c r="I138" i="12"/>
  <c r="H138" i="12"/>
  <c r="F138" i="12"/>
  <c r="E138" i="12"/>
  <c r="D138" i="12"/>
  <c r="G137" i="12"/>
  <c r="G136" i="12"/>
  <c r="G135" i="12"/>
  <c r="G134" i="12"/>
  <c r="G133" i="12"/>
  <c r="G132" i="12"/>
  <c r="G131" i="12"/>
  <c r="G138" i="12" s="1"/>
  <c r="I125" i="12"/>
  <c r="G125" i="12"/>
  <c r="E125" i="12"/>
  <c r="K124" i="12"/>
  <c r="J124" i="12"/>
  <c r="K123" i="12"/>
  <c r="J123" i="12"/>
  <c r="K122" i="12"/>
  <c r="J122" i="12"/>
  <c r="K121" i="12"/>
  <c r="J121" i="12"/>
  <c r="K120" i="12"/>
  <c r="J120" i="12"/>
  <c r="K119" i="12"/>
  <c r="J119" i="12"/>
  <c r="K118" i="12"/>
  <c r="K125" i="12" s="1"/>
  <c r="J118" i="12"/>
  <c r="J125" i="12" s="1"/>
  <c r="J115" i="12"/>
  <c r="I115" i="12"/>
  <c r="H115" i="12"/>
  <c r="F115" i="12"/>
  <c r="E115" i="12"/>
  <c r="D115" i="12"/>
  <c r="G114" i="12"/>
  <c r="G113" i="12"/>
  <c r="G112" i="12"/>
  <c r="G111" i="12"/>
  <c r="G110" i="12"/>
  <c r="G109" i="12"/>
  <c r="G115" i="12" s="1"/>
  <c r="G108" i="12"/>
  <c r="F102" i="12"/>
  <c r="E102" i="12"/>
  <c r="D102" i="12"/>
  <c r="G101" i="12"/>
  <c r="G100" i="12"/>
  <c r="G99" i="12"/>
  <c r="G98" i="12"/>
  <c r="G97" i="12"/>
  <c r="G96" i="12"/>
  <c r="G102" i="12" s="1"/>
  <c r="K92" i="12"/>
  <c r="J92" i="12"/>
  <c r="I92" i="12"/>
  <c r="H92" i="12"/>
  <c r="G92" i="12"/>
  <c r="F92" i="12"/>
  <c r="E92" i="12"/>
  <c r="D92" i="12"/>
  <c r="K81" i="12"/>
  <c r="J81" i="12"/>
  <c r="I81" i="12"/>
  <c r="H81" i="12"/>
  <c r="G81" i="12"/>
  <c r="F81" i="12"/>
  <c r="E81" i="12"/>
  <c r="D81" i="12"/>
  <c r="L70" i="12"/>
  <c r="K70" i="12"/>
  <c r="J70" i="12"/>
  <c r="I70" i="12"/>
  <c r="H70" i="12"/>
  <c r="G70" i="12"/>
  <c r="F70" i="12"/>
  <c r="E70" i="12"/>
  <c r="D70" i="12"/>
  <c r="K57" i="12"/>
  <c r="J57" i="12"/>
  <c r="I57" i="12"/>
  <c r="H57" i="12"/>
  <c r="G57" i="12"/>
  <c r="F57" i="12"/>
  <c r="E57" i="12"/>
  <c r="D57" i="12"/>
  <c r="K43" i="12"/>
  <c r="J43" i="12"/>
  <c r="I43" i="12"/>
  <c r="H43" i="12"/>
  <c r="G43" i="12"/>
  <c r="F43" i="12"/>
  <c r="E43" i="12"/>
  <c r="D43" i="12"/>
  <c r="G30" i="12"/>
  <c r="F30" i="12"/>
  <c r="E30" i="12"/>
  <c r="D30" i="12"/>
  <c r="H29" i="12"/>
  <c r="H28" i="12"/>
  <c r="H27" i="12"/>
  <c r="H26" i="12"/>
  <c r="H25" i="12"/>
  <c r="H24" i="12"/>
  <c r="H23" i="12"/>
  <c r="H30" i="12" s="1"/>
  <c r="O19" i="12"/>
  <c r="N19" i="12"/>
  <c r="M19" i="12"/>
  <c r="L19" i="12"/>
  <c r="K19" i="12"/>
  <c r="J19" i="12"/>
  <c r="I19" i="12"/>
  <c r="G19" i="12"/>
  <c r="F19" i="12"/>
  <c r="E19" i="12"/>
  <c r="D19" i="12"/>
  <c r="H19" i="12" s="1"/>
  <c r="H18" i="12"/>
  <c r="H17" i="12"/>
  <c r="H16" i="12"/>
  <c r="H15" i="12"/>
  <c r="H14" i="12"/>
  <c r="H13" i="12"/>
  <c r="H12" i="12"/>
  <c r="F171" i="11" l="1"/>
  <c r="I166" i="11"/>
  <c r="I171" i="11" s="1"/>
  <c r="H166" i="11"/>
  <c r="H171" i="11" s="1"/>
  <c r="G166" i="11"/>
  <c r="G171" i="11" s="1"/>
  <c r="F166" i="11"/>
  <c r="E166" i="11"/>
  <c r="E171" i="11" s="1"/>
  <c r="D166" i="11"/>
  <c r="D171" i="11" s="1"/>
  <c r="C166" i="11"/>
  <c r="C171" i="11" s="1"/>
  <c r="G162" i="11"/>
  <c r="F162" i="11"/>
  <c r="E162" i="11"/>
  <c r="D162" i="11"/>
  <c r="L149" i="11"/>
  <c r="K149" i="11"/>
  <c r="J149" i="11"/>
  <c r="I149" i="11"/>
  <c r="H149" i="11"/>
  <c r="F149" i="11"/>
  <c r="E149" i="11"/>
  <c r="D149" i="11"/>
  <c r="G148" i="11"/>
  <c r="G147" i="11"/>
  <c r="G146" i="11"/>
  <c r="G145" i="11"/>
  <c r="G144" i="11"/>
  <c r="G149" i="11" s="1"/>
  <c r="G143" i="11"/>
  <c r="G142" i="11"/>
  <c r="O138" i="11"/>
  <c r="N138" i="11"/>
  <c r="M138" i="11"/>
  <c r="L138" i="11"/>
  <c r="K138" i="11"/>
  <c r="J138" i="11"/>
  <c r="I138" i="11"/>
  <c r="H138" i="11"/>
  <c r="F138" i="11"/>
  <c r="E138" i="11"/>
  <c r="D138" i="11"/>
  <c r="G137" i="11"/>
  <c r="G136" i="11"/>
  <c r="G135" i="11"/>
  <c r="G134" i="11"/>
  <c r="G133" i="11"/>
  <c r="G132" i="11"/>
  <c r="G131" i="11"/>
  <c r="G138" i="11" s="1"/>
  <c r="I125" i="11"/>
  <c r="G125" i="11"/>
  <c r="E125" i="11"/>
  <c r="K124" i="11"/>
  <c r="J124" i="11"/>
  <c r="K123" i="11"/>
  <c r="J123" i="11"/>
  <c r="K122" i="11"/>
  <c r="J122" i="11"/>
  <c r="K121" i="11"/>
  <c r="J121" i="11"/>
  <c r="K120" i="11"/>
  <c r="J120" i="11"/>
  <c r="K119" i="11"/>
  <c r="J119" i="11"/>
  <c r="K118" i="11"/>
  <c r="K125" i="11" s="1"/>
  <c r="J118" i="11"/>
  <c r="J125" i="11" s="1"/>
  <c r="J115" i="11"/>
  <c r="I115" i="11"/>
  <c r="H115" i="11"/>
  <c r="F115" i="11"/>
  <c r="E115" i="11"/>
  <c r="D115" i="11"/>
  <c r="G114" i="11"/>
  <c r="G113" i="11"/>
  <c r="G111" i="11"/>
  <c r="G110" i="11"/>
  <c r="G109" i="11"/>
  <c r="G115" i="11" s="1"/>
  <c r="G108" i="11"/>
  <c r="F102" i="11"/>
  <c r="E102" i="11"/>
  <c r="D102" i="11"/>
  <c r="G101" i="11"/>
  <c r="G100" i="11"/>
  <c r="G99" i="11"/>
  <c r="G98" i="11"/>
  <c r="G97" i="11"/>
  <c r="G96" i="11"/>
  <c r="G102" i="11" s="1"/>
  <c r="K92" i="11"/>
  <c r="J92" i="11"/>
  <c r="I92" i="11"/>
  <c r="H92" i="11"/>
  <c r="G92" i="11"/>
  <c r="F92" i="11"/>
  <c r="E92" i="11"/>
  <c r="D92" i="11"/>
  <c r="K81" i="11"/>
  <c r="J81" i="11"/>
  <c r="I81" i="11"/>
  <c r="H81" i="11"/>
  <c r="G81" i="11"/>
  <c r="F81" i="11"/>
  <c r="E81" i="11"/>
  <c r="D81" i="11"/>
  <c r="L70" i="11"/>
  <c r="K70" i="11"/>
  <c r="J70" i="11"/>
  <c r="I70" i="11"/>
  <c r="H70" i="11"/>
  <c r="G70" i="11"/>
  <c r="F70" i="11"/>
  <c r="E70" i="11"/>
  <c r="D70" i="11"/>
  <c r="K57" i="11"/>
  <c r="J57" i="11"/>
  <c r="I57" i="11"/>
  <c r="H57" i="11"/>
  <c r="G57" i="11"/>
  <c r="F57" i="11"/>
  <c r="E57" i="11"/>
  <c r="D57" i="11"/>
  <c r="K43" i="11"/>
  <c r="J43" i="11"/>
  <c r="I43" i="11"/>
  <c r="H43" i="11"/>
  <c r="G43" i="11"/>
  <c r="F43" i="11"/>
  <c r="E43" i="11"/>
  <c r="D43" i="11"/>
  <c r="G30" i="11"/>
  <c r="F30" i="11"/>
  <c r="E30" i="11"/>
  <c r="H29" i="11"/>
  <c r="H28" i="11"/>
  <c r="H27" i="11"/>
  <c r="D27" i="11"/>
  <c r="D30" i="11" s="1"/>
  <c r="H26" i="11"/>
  <c r="H25" i="11"/>
  <c r="H24" i="11"/>
  <c r="H23" i="11"/>
  <c r="H30" i="11" s="1"/>
  <c r="O19" i="11"/>
  <c r="N19" i="11"/>
  <c r="M19" i="11"/>
  <c r="L19" i="11"/>
  <c r="K19" i="11"/>
  <c r="J19" i="11"/>
  <c r="I19" i="11"/>
  <c r="G19" i="11"/>
  <c r="F19" i="11"/>
  <c r="E19" i="11"/>
  <c r="D19" i="11"/>
  <c r="H18" i="11"/>
  <c r="H17" i="11"/>
  <c r="H16" i="11"/>
  <c r="H15" i="11"/>
  <c r="H14" i="11"/>
  <c r="H13" i="11"/>
  <c r="H12" i="11"/>
  <c r="H19" i="11" s="1"/>
  <c r="F171" i="10" l="1"/>
  <c r="I166" i="10"/>
  <c r="I171" i="10" s="1"/>
  <c r="H166" i="10"/>
  <c r="H171" i="10" s="1"/>
  <c r="G166" i="10"/>
  <c r="G171" i="10" s="1"/>
  <c r="F166" i="10"/>
  <c r="E166" i="10"/>
  <c r="E171" i="10" s="1"/>
  <c r="D166" i="10"/>
  <c r="D171" i="10" s="1"/>
  <c r="C166" i="10"/>
  <c r="C171" i="10" s="1"/>
  <c r="G162" i="10"/>
  <c r="F162" i="10"/>
  <c r="E162" i="10"/>
  <c r="D162" i="10"/>
  <c r="L149" i="10"/>
  <c r="K149" i="10"/>
  <c r="J149" i="10"/>
  <c r="I149" i="10"/>
  <c r="H149" i="10"/>
  <c r="F149" i="10"/>
  <c r="E149" i="10"/>
  <c r="D149" i="10"/>
  <c r="G148" i="10"/>
  <c r="G147" i="10"/>
  <c r="G146" i="10"/>
  <c r="G145" i="10"/>
  <c r="G144" i="10"/>
  <c r="G149" i="10" s="1"/>
  <c r="G143" i="10"/>
  <c r="G142" i="10"/>
  <c r="O138" i="10"/>
  <c r="N138" i="10"/>
  <c r="M138" i="10"/>
  <c r="L138" i="10"/>
  <c r="K138" i="10"/>
  <c r="J138" i="10"/>
  <c r="I138" i="10"/>
  <c r="H138" i="10"/>
  <c r="F138" i="10"/>
  <c r="E138" i="10"/>
  <c r="D138" i="10"/>
  <c r="G137" i="10"/>
  <c r="G136" i="10"/>
  <c r="G135" i="10"/>
  <c r="G134" i="10"/>
  <c r="G133" i="10"/>
  <c r="G132" i="10"/>
  <c r="G131" i="10"/>
  <c r="G138" i="10" s="1"/>
  <c r="I125" i="10"/>
  <c r="G125" i="10"/>
  <c r="E125" i="10"/>
  <c r="K124" i="10"/>
  <c r="J124" i="10"/>
  <c r="K123" i="10"/>
  <c r="J123" i="10"/>
  <c r="K122" i="10"/>
  <c r="J122" i="10"/>
  <c r="K121" i="10"/>
  <c r="J121" i="10"/>
  <c r="K120" i="10"/>
  <c r="J120" i="10"/>
  <c r="K119" i="10"/>
  <c r="J119" i="10"/>
  <c r="K118" i="10"/>
  <c r="K125" i="10" s="1"/>
  <c r="J118" i="10"/>
  <c r="J125" i="10" s="1"/>
  <c r="J115" i="10"/>
  <c r="I115" i="10"/>
  <c r="H115" i="10"/>
  <c r="F115" i="10"/>
  <c r="E115" i="10"/>
  <c r="D115" i="10"/>
  <c r="G114" i="10"/>
  <c r="G113" i="10"/>
  <c r="G112" i="10"/>
  <c r="G111" i="10"/>
  <c r="G110" i="10"/>
  <c r="G115" i="10" s="1"/>
  <c r="G109" i="10"/>
  <c r="G108" i="10"/>
  <c r="F102" i="10"/>
  <c r="E102" i="10"/>
  <c r="D102" i="10"/>
  <c r="G101" i="10"/>
  <c r="G100" i="10"/>
  <c r="G99" i="10"/>
  <c r="G98" i="10"/>
  <c r="G97" i="10"/>
  <c r="G96" i="10"/>
  <c r="G102" i="10" s="1"/>
  <c r="K92" i="10"/>
  <c r="J92" i="10"/>
  <c r="I92" i="10"/>
  <c r="H92" i="10"/>
  <c r="G92" i="10"/>
  <c r="F92" i="10"/>
  <c r="E92" i="10"/>
  <c r="D92" i="10"/>
  <c r="K81" i="10"/>
  <c r="J81" i="10"/>
  <c r="I81" i="10"/>
  <c r="H81" i="10"/>
  <c r="G81" i="10"/>
  <c r="F81" i="10"/>
  <c r="E81" i="10"/>
  <c r="D81" i="10"/>
  <c r="L70" i="10"/>
  <c r="K70" i="10"/>
  <c r="J70" i="10"/>
  <c r="I70" i="10"/>
  <c r="H70" i="10"/>
  <c r="G70" i="10"/>
  <c r="F70" i="10"/>
  <c r="E70" i="10"/>
  <c r="D70" i="10"/>
  <c r="K57" i="10"/>
  <c r="J57" i="10"/>
  <c r="I57" i="10"/>
  <c r="H57" i="10"/>
  <c r="G57" i="10"/>
  <c r="F57" i="10"/>
  <c r="E57" i="10"/>
  <c r="D57" i="10"/>
  <c r="K43" i="10"/>
  <c r="J43" i="10"/>
  <c r="I43" i="10"/>
  <c r="H43" i="10"/>
  <c r="G43" i="10"/>
  <c r="F43" i="10"/>
  <c r="E43" i="10"/>
  <c r="D43" i="10"/>
  <c r="G30" i="10"/>
  <c r="F30" i="10"/>
  <c r="E30" i="10"/>
  <c r="D30" i="10"/>
  <c r="H30" i="10" s="1"/>
  <c r="H29" i="10"/>
  <c r="H28" i="10"/>
  <c r="H27" i="10"/>
  <c r="H26" i="10"/>
  <c r="H25" i="10"/>
  <c r="H24" i="10"/>
  <c r="H23" i="10"/>
  <c r="O19" i="10"/>
  <c r="N19" i="10"/>
  <c r="M19" i="10"/>
  <c r="L19" i="10"/>
  <c r="K19" i="10"/>
  <c r="I19" i="10"/>
  <c r="F19" i="10"/>
  <c r="E19" i="10"/>
  <c r="D19" i="10"/>
  <c r="H18" i="10"/>
  <c r="H17" i="10"/>
  <c r="H16" i="10"/>
  <c r="H15" i="10"/>
  <c r="H14" i="10"/>
  <c r="H13" i="10"/>
  <c r="H12" i="10"/>
  <c r="F171" i="8" l="1"/>
  <c r="I166" i="8"/>
  <c r="I171" i="8" s="1"/>
  <c r="H166" i="8"/>
  <c r="H171" i="8" s="1"/>
  <c r="G166" i="8"/>
  <c r="G171" i="8" s="1"/>
  <c r="F166" i="8"/>
  <c r="E166" i="8"/>
  <c r="E171" i="8" s="1"/>
  <c r="D166" i="8"/>
  <c r="D171" i="8" s="1"/>
  <c r="C166" i="8"/>
  <c r="C171" i="8" s="1"/>
  <c r="G162" i="8"/>
  <c r="F162" i="8"/>
  <c r="E162" i="8"/>
  <c r="D162" i="8"/>
  <c r="L149" i="8"/>
  <c r="K149" i="8"/>
  <c r="J149" i="8"/>
  <c r="I149" i="8"/>
  <c r="H149" i="8"/>
  <c r="F149" i="8"/>
  <c r="E149" i="8"/>
  <c r="D149" i="8"/>
  <c r="G148" i="8"/>
  <c r="G147" i="8"/>
  <c r="G146" i="8"/>
  <c r="G145" i="8"/>
  <c r="G144" i="8"/>
  <c r="G149" i="8" s="1"/>
  <c r="G143" i="8"/>
  <c r="G142" i="8"/>
  <c r="O138" i="8"/>
  <c r="N138" i="8"/>
  <c r="M138" i="8"/>
  <c r="L138" i="8"/>
  <c r="K138" i="8"/>
  <c r="J138" i="8"/>
  <c r="I138" i="8"/>
  <c r="H138" i="8"/>
  <c r="F138" i="8"/>
  <c r="E138" i="8"/>
  <c r="D138" i="8"/>
  <c r="G137" i="8"/>
  <c r="G136" i="8"/>
  <c r="G135" i="8"/>
  <c r="G134" i="8"/>
  <c r="G133" i="8"/>
  <c r="G132" i="8"/>
  <c r="G131" i="8"/>
  <c r="G138" i="8" s="1"/>
  <c r="I125" i="8"/>
  <c r="G125" i="8"/>
  <c r="E125" i="8"/>
  <c r="K124" i="8"/>
  <c r="J124" i="8"/>
  <c r="K123" i="8"/>
  <c r="J123" i="8"/>
  <c r="K122" i="8"/>
  <c r="J122" i="8"/>
  <c r="K121" i="8"/>
  <c r="J121" i="8"/>
  <c r="K120" i="8"/>
  <c r="J120" i="8"/>
  <c r="K119" i="8"/>
  <c r="J119" i="8"/>
  <c r="K118" i="8"/>
  <c r="K125" i="8" s="1"/>
  <c r="J118" i="8"/>
  <c r="J125" i="8" s="1"/>
  <c r="J115" i="8"/>
  <c r="I115" i="8"/>
  <c r="H115" i="8"/>
  <c r="F115" i="8"/>
  <c r="E115" i="8"/>
  <c r="D115" i="8"/>
  <c r="G114" i="8"/>
  <c r="G113" i="8"/>
  <c r="G112" i="8"/>
  <c r="G111" i="8"/>
  <c r="G110" i="8"/>
  <c r="G115" i="8" s="1"/>
  <c r="G109" i="8"/>
  <c r="G108" i="8"/>
  <c r="F102" i="8"/>
  <c r="E102" i="8"/>
  <c r="D102" i="8"/>
  <c r="G101" i="8"/>
  <c r="G100" i="8"/>
  <c r="G99" i="8"/>
  <c r="G98" i="8"/>
  <c r="G97" i="8"/>
  <c r="G96" i="8"/>
  <c r="G102" i="8" s="1"/>
  <c r="K92" i="8"/>
  <c r="J92" i="8"/>
  <c r="I92" i="8"/>
  <c r="H92" i="8"/>
  <c r="G92" i="8"/>
  <c r="F92" i="8"/>
  <c r="E92" i="8"/>
  <c r="D92" i="8"/>
  <c r="K81" i="8"/>
  <c r="J81" i="8"/>
  <c r="I81" i="8"/>
  <c r="H81" i="8"/>
  <c r="G81" i="8"/>
  <c r="F81" i="8"/>
  <c r="E81" i="8"/>
  <c r="D81" i="8"/>
  <c r="L70" i="8"/>
  <c r="K70" i="8"/>
  <c r="J70" i="8"/>
  <c r="I70" i="8"/>
  <c r="H70" i="8"/>
  <c r="G70" i="8"/>
  <c r="F70" i="8"/>
  <c r="E70" i="8"/>
  <c r="D70" i="8"/>
  <c r="K57" i="8"/>
  <c r="J57" i="8"/>
  <c r="I57" i="8"/>
  <c r="H57" i="8"/>
  <c r="G57" i="8"/>
  <c r="F57" i="8"/>
  <c r="E57" i="8"/>
  <c r="D57" i="8"/>
  <c r="K43" i="8"/>
  <c r="J43" i="8"/>
  <c r="I43" i="8"/>
  <c r="H43" i="8"/>
  <c r="G43" i="8"/>
  <c r="F43" i="8"/>
  <c r="E43" i="8"/>
  <c r="D43" i="8"/>
  <c r="G30" i="8"/>
  <c r="F30" i="8"/>
  <c r="E30" i="8"/>
  <c r="D30" i="8"/>
  <c r="H30" i="8" s="1"/>
  <c r="H29" i="8"/>
  <c r="H28" i="8"/>
  <c r="H27" i="8"/>
  <c r="H26" i="8"/>
  <c r="H25" i="8"/>
  <c r="H24" i="8"/>
  <c r="H23" i="8"/>
  <c r="O19" i="8"/>
  <c r="N19" i="8"/>
  <c r="M19" i="8"/>
  <c r="L19" i="8"/>
  <c r="K19" i="8"/>
  <c r="I19" i="8"/>
  <c r="H19" i="8"/>
  <c r="F19" i="8"/>
  <c r="E19" i="8"/>
  <c r="D19" i="8"/>
  <c r="H18" i="8"/>
  <c r="H17" i="8"/>
  <c r="H16" i="8"/>
  <c r="H15" i="8"/>
  <c r="H14" i="8"/>
  <c r="H13" i="8"/>
  <c r="H12" i="8"/>
  <c r="F171" i="7" l="1"/>
  <c r="G169" i="7"/>
  <c r="G168" i="7"/>
  <c r="I166" i="7"/>
  <c r="I171" i="7" s="1"/>
  <c r="H166" i="7"/>
  <c r="H171" i="7" s="1"/>
  <c r="G166" i="7"/>
  <c r="G171" i="7" s="1"/>
  <c r="F166" i="7"/>
  <c r="E166" i="7"/>
  <c r="E171" i="7" s="1"/>
  <c r="D166" i="7"/>
  <c r="D171" i="7" s="1"/>
  <c r="C166" i="7"/>
  <c r="C171" i="7" s="1"/>
  <c r="G162" i="7"/>
  <c r="F162" i="7"/>
  <c r="E162" i="7"/>
  <c r="D162" i="7"/>
  <c r="L149" i="7"/>
  <c r="K149" i="7"/>
  <c r="J149" i="7"/>
  <c r="I149" i="7"/>
  <c r="H149" i="7"/>
  <c r="F149" i="7"/>
  <c r="E149" i="7"/>
  <c r="D149" i="7"/>
  <c r="G148" i="7"/>
  <c r="G147" i="7"/>
  <c r="G146" i="7"/>
  <c r="G145" i="7"/>
  <c r="G144" i="7"/>
  <c r="G143" i="7"/>
  <c r="G142" i="7"/>
  <c r="G149" i="7" s="1"/>
  <c r="O138" i="7"/>
  <c r="N138" i="7"/>
  <c r="M138" i="7"/>
  <c r="L138" i="7"/>
  <c r="K138" i="7"/>
  <c r="J138" i="7"/>
  <c r="I138" i="7"/>
  <c r="H138" i="7"/>
  <c r="F138" i="7"/>
  <c r="E138" i="7"/>
  <c r="D138" i="7"/>
  <c r="G137" i="7"/>
  <c r="G136" i="7"/>
  <c r="G135" i="7"/>
  <c r="G134" i="7"/>
  <c r="G133" i="7"/>
  <c r="G132" i="7"/>
  <c r="G131" i="7"/>
  <c r="G138" i="7" s="1"/>
  <c r="K125" i="7"/>
  <c r="I125" i="7"/>
  <c r="G125" i="7"/>
  <c r="E125" i="7"/>
  <c r="K124" i="7"/>
  <c r="J124" i="7"/>
  <c r="K123" i="7"/>
  <c r="J123" i="7"/>
  <c r="K122" i="7"/>
  <c r="J122" i="7"/>
  <c r="K121" i="7"/>
  <c r="J121" i="7"/>
  <c r="K120" i="7"/>
  <c r="J120" i="7"/>
  <c r="K119" i="7"/>
  <c r="J119" i="7"/>
  <c r="K118" i="7"/>
  <c r="J118" i="7"/>
  <c r="J125" i="7" s="1"/>
  <c r="J115" i="7"/>
  <c r="I115" i="7"/>
  <c r="H115" i="7"/>
  <c r="F115" i="7"/>
  <c r="E115" i="7"/>
  <c r="D115" i="7"/>
  <c r="G114" i="7"/>
  <c r="G113" i="7"/>
  <c r="G112" i="7"/>
  <c r="G111" i="7"/>
  <c r="G110" i="7"/>
  <c r="G109" i="7"/>
  <c r="G108" i="7"/>
  <c r="G115" i="7" s="1"/>
  <c r="F102" i="7"/>
  <c r="E102" i="7"/>
  <c r="D102" i="7"/>
  <c r="G101" i="7"/>
  <c r="G100" i="7"/>
  <c r="G99" i="7"/>
  <c r="G98" i="7"/>
  <c r="G97" i="7"/>
  <c r="G96" i="7"/>
  <c r="G102" i="7" s="1"/>
  <c r="K92" i="7"/>
  <c r="J92" i="7"/>
  <c r="I92" i="7"/>
  <c r="H92" i="7"/>
  <c r="G92" i="7"/>
  <c r="F92" i="7"/>
  <c r="E92" i="7"/>
  <c r="D92" i="7"/>
  <c r="K81" i="7"/>
  <c r="J81" i="7"/>
  <c r="I81" i="7"/>
  <c r="H81" i="7"/>
  <c r="G81" i="7"/>
  <c r="F81" i="7"/>
  <c r="E81" i="7"/>
  <c r="D81" i="7"/>
  <c r="L70" i="7"/>
  <c r="K70" i="7"/>
  <c r="J70" i="7"/>
  <c r="I70" i="7"/>
  <c r="H70" i="7"/>
  <c r="G70" i="7"/>
  <c r="F70" i="7"/>
  <c r="E70" i="7"/>
  <c r="D70" i="7"/>
  <c r="K57" i="7"/>
  <c r="J57" i="7"/>
  <c r="I57" i="7"/>
  <c r="H57" i="7"/>
  <c r="G57" i="7"/>
  <c r="F57" i="7"/>
  <c r="E57" i="7"/>
  <c r="D57" i="7"/>
  <c r="K43" i="7"/>
  <c r="J43" i="7"/>
  <c r="I43" i="7"/>
  <c r="H43" i="7"/>
  <c r="G43" i="7"/>
  <c r="F43" i="7"/>
  <c r="E43" i="7"/>
  <c r="D40" i="7"/>
  <c r="D43" i="7" s="1"/>
  <c r="G30" i="7"/>
  <c r="F30" i="7"/>
  <c r="E30" i="7"/>
  <c r="H29" i="7"/>
  <c r="H28" i="7"/>
  <c r="H27" i="7"/>
  <c r="D27" i="7"/>
  <c r="D30" i="7" s="1"/>
  <c r="H30" i="7" s="1"/>
  <c r="H26" i="7"/>
  <c r="H25" i="7"/>
  <c r="H24" i="7"/>
  <c r="H23" i="7"/>
  <c r="O19" i="7"/>
  <c r="N19" i="7"/>
  <c r="M19" i="7"/>
  <c r="L19" i="7"/>
  <c r="K19" i="7"/>
  <c r="I19" i="7"/>
  <c r="F19" i="7"/>
  <c r="E19" i="7"/>
  <c r="H18" i="7"/>
  <c r="H17" i="7"/>
  <c r="D16" i="7"/>
  <c r="D19" i="7" s="1"/>
  <c r="H19" i="7" s="1"/>
  <c r="H15" i="7"/>
  <c r="H14" i="7"/>
  <c r="H13" i="7"/>
  <c r="H12" i="7"/>
  <c r="H16" i="7" l="1"/>
  <c r="H171" i="5" l="1"/>
  <c r="G171" i="5"/>
  <c r="F171" i="5"/>
  <c r="D171" i="5"/>
  <c r="C171" i="5"/>
  <c r="I166" i="5"/>
  <c r="I171" i="5" s="1"/>
  <c r="H166" i="5"/>
  <c r="G166" i="5"/>
  <c r="F166" i="5"/>
  <c r="E166" i="5"/>
  <c r="E171" i="5" s="1"/>
  <c r="D166" i="5"/>
  <c r="C166" i="5"/>
  <c r="G162" i="5"/>
  <c r="F162" i="5"/>
  <c r="E162" i="5"/>
  <c r="D162" i="5"/>
  <c r="L149" i="5"/>
  <c r="K149" i="5"/>
  <c r="J149" i="5"/>
  <c r="I149" i="5"/>
  <c r="H149" i="5"/>
  <c r="F149" i="5"/>
  <c r="E149" i="5"/>
  <c r="D149" i="5"/>
  <c r="G148" i="5"/>
  <c r="G147" i="5"/>
  <c r="G146" i="5"/>
  <c r="G145" i="5"/>
  <c r="G144" i="5"/>
  <c r="G149" i="5" s="1"/>
  <c r="G143" i="5"/>
  <c r="G142" i="5"/>
  <c r="O138" i="5"/>
  <c r="N138" i="5"/>
  <c r="M138" i="5"/>
  <c r="L138" i="5"/>
  <c r="K138" i="5"/>
  <c r="J138" i="5"/>
  <c r="I138" i="5"/>
  <c r="H138" i="5"/>
  <c r="F138" i="5"/>
  <c r="E138" i="5"/>
  <c r="D138" i="5"/>
  <c r="G137" i="5"/>
  <c r="G136" i="5"/>
  <c r="G135" i="5"/>
  <c r="G134" i="5"/>
  <c r="G133" i="5"/>
  <c r="G132" i="5"/>
  <c r="G138" i="5" s="1"/>
  <c r="G131" i="5"/>
  <c r="I125" i="5"/>
  <c r="G125" i="5"/>
  <c r="E125" i="5"/>
  <c r="K124" i="5"/>
  <c r="J124" i="5"/>
  <c r="K123" i="5"/>
  <c r="J123" i="5"/>
  <c r="K122" i="5"/>
  <c r="J122" i="5"/>
  <c r="K121" i="5"/>
  <c r="J121" i="5"/>
  <c r="K120" i="5"/>
  <c r="J120" i="5"/>
  <c r="K119" i="5"/>
  <c r="J119" i="5"/>
  <c r="K118" i="5"/>
  <c r="K125" i="5" s="1"/>
  <c r="J118" i="5"/>
  <c r="J125" i="5" s="1"/>
  <c r="J115" i="5"/>
  <c r="I115" i="5"/>
  <c r="H115" i="5"/>
  <c r="F115" i="5"/>
  <c r="E115" i="5"/>
  <c r="D115" i="5"/>
  <c r="G114" i="5"/>
  <c r="G113" i="5"/>
  <c r="G112" i="5"/>
  <c r="G111" i="5"/>
  <c r="G110" i="5"/>
  <c r="G115" i="5" s="1"/>
  <c r="G109" i="5"/>
  <c r="G108" i="5"/>
  <c r="F102" i="5"/>
  <c r="E102" i="5"/>
  <c r="D102" i="5"/>
  <c r="G101" i="5"/>
  <c r="G100" i="5"/>
  <c r="G99" i="5"/>
  <c r="G98" i="5"/>
  <c r="G97" i="5"/>
  <c r="G96" i="5"/>
  <c r="G102" i="5" s="1"/>
  <c r="K92" i="5"/>
  <c r="J92" i="5"/>
  <c r="I92" i="5"/>
  <c r="H92" i="5"/>
  <c r="G92" i="5"/>
  <c r="F92" i="5"/>
  <c r="E92" i="5"/>
  <c r="D92" i="5"/>
  <c r="K81" i="5"/>
  <c r="J81" i="5"/>
  <c r="I81" i="5"/>
  <c r="H81" i="5"/>
  <c r="G81" i="5"/>
  <c r="F81" i="5"/>
  <c r="E81" i="5"/>
  <c r="D81" i="5"/>
  <c r="L70" i="5"/>
  <c r="K70" i="5"/>
  <c r="J70" i="5"/>
  <c r="I70" i="5"/>
  <c r="H70" i="5"/>
  <c r="G70" i="5"/>
  <c r="F70" i="5"/>
  <c r="E70" i="5"/>
  <c r="D70" i="5"/>
  <c r="K57" i="5"/>
  <c r="J57" i="5"/>
  <c r="I57" i="5"/>
  <c r="H57" i="5"/>
  <c r="G57" i="5"/>
  <c r="F57" i="5"/>
  <c r="E57" i="5"/>
  <c r="D57" i="5"/>
  <c r="K43" i="5"/>
  <c r="J43" i="5"/>
  <c r="I43" i="5"/>
  <c r="H43" i="5"/>
  <c r="G43" i="5"/>
  <c r="F43" i="5"/>
  <c r="E43" i="5"/>
  <c r="D43" i="5"/>
  <c r="G30" i="5"/>
  <c r="F30" i="5"/>
  <c r="E30" i="5"/>
  <c r="D30" i="5"/>
  <c r="H30" i="5" s="1"/>
  <c r="H29" i="5"/>
  <c r="H28" i="5"/>
  <c r="H27" i="5"/>
  <c r="H26" i="5"/>
  <c r="H25" i="5"/>
  <c r="H24" i="5"/>
  <c r="H23" i="5"/>
  <c r="O19" i="5"/>
  <c r="N19" i="5"/>
  <c r="M19" i="5"/>
  <c r="L19" i="5"/>
  <c r="K19" i="5"/>
  <c r="I19" i="5"/>
  <c r="G19" i="5"/>
  <c r="F19" i="5"/>
  <c r="E19" i="5"/>
  <c r="D19" i="5"/>
  <c r="H19" i="5" s="1"/>
  <c r="H18" i="5"/>
  <c r="H17" i="5"/>
  <c r="H16" i="5"/>
  <c r="H15" i="5"/>
  <c r="H14" i="5"/>
  <c r="H13" i="5"/>
  <c r="H12" i="5"/>
  <c r="F171" i="3" l="1"/>
  <c r="I166" i="3"/>
  <c r="I171" i="3" s="1"/>
  <c r="H166" i="3"/>
  <c r="H171" i="3" s="1"/>
  <c r="G166" i="3"/>
  <c r="G171" i="3" s="1"/>
  <c r="F166" i="3"/>
  <c r="E166" i="3"/>
  <c r="E171" i="3" s="1"/>
  <c r="D166" i="3"/>
  <c r="D171" i="3" s="1"/>
  <c r="C166" i="3"/>
  <c r="C171" i="3" s="1"/>
  <c r="G162" i="3"/>
  <c r="F162" i="3"/>
  <c r="E162" i="3"/>
  <c r="D162" i="3"/>
  <c r="L149" i="3"/>
  <c r="K149" i="3"/>
  <c r="J149" i="3"/>
  <c r="I149" i="3"/>
  <c r="H149" i="3"/>
  <c r="F149" i="3"/>
  <c r="E149" i="3"/>
  <c r="D149" i="3"/>
  <c r="G148" i="3"/>
  <c r="G147" i="3"/>
  <c r="G146" i="3"/>
  <c r="G145" i="3"/>
  <c r="G144" i="3"/>
  <c r="G149" i="3" s="1"/>
  <c r="G143" i="3"/>
  <c r="G142" i="3"/>
  <c r="O138" i="3"/>
  <c r="N138" i="3"/>
  <c r="M138" i="3"/>
  <c r="L138" i="3"/>
  <c r="K138" i="3"/>
  <c r="J138" i="3"/>
  <c r="I138" i="3"/>
  <c r="H138" i="3"/>
  <c r="F138" i="3"/>
  <c r="E138" i="3"/>
  <c r="D138" i="3"/>
  <c r="G137" i="3"/>
  <c r="G136" i="3"/>
  <c r="G135" i="3"/>
  <c r="G134" i="3"/>
  <c r="G133" i="3"/>
  <c r="G132" i="3"/>
  <c r="G131" i="3"/>
  <c r="G138" i="3" s="1"/>
  <c r="I125" i="3"/>
  <c r="G125" i="3"/>
  <c r="E125" i="3"/>
  <c r="K124" i="3"/>
  <c r="J124" i="3"/>
  <c r="K123" i="3"/>
  <c r="J123" i="3"/>
  <c r="K122" i="3"/>
  <c r="J122" i="3"/>
  <c r="K121" i="3"/>
  <c r="J121" i="3"/>
  <c r="K120" i="3"/>
  <c r="J120" i="3"/>
  <c r="K119" i="3"/>
  <c r="J119" i="3"/>
  <c r="K118" i="3"/>
  <c r="K125" i="3" s="1"/>
  <c r="J118" i="3"/>
  <c r="J125" i="3" s="1"/>
  <c r="J115" i="3"/>
  <c r="I115" i="3"/>
  <c r="H115" i="3"/>
  <c r="F115" i="3"/>
  <c r="E115" i="3"/>
  <c r="D115" i="3"/>
  <c r="G114" i="3"/>
  <c r="G113" i="3"/>
  <c r="G112" i="3"/>
  <c r="G111" i="3"/>
  <c r="G110" i="3"/>
  <c r="G115" i="3" s="1"/>
  <c r="G109" i="3"/>
  <c r="G108" i="3"/>
  <c r="F102" i="3"/>
  <c r="E102" i="3"/>
  <c r="D102" i="3"/>
  <c r="G101" i="3"/>
  <c r="G100" i="3"/>
  <c r="G99" i="3"/>
  <c r="G98" i="3"/>
  <c r="G97" i="3"/>
  <c r="G96" i="3"/>
  <c r="G102" i="3" s="1"/>
  <c r="K92" i="3"/>
  <c r="J92" i="3"/>
  <c r="I92" i="3"/>
  <c r="H92" i="3"/>
  <c r="G92" i="3"/>
  <c r="F92" i="3"/>
  <c r="E92" i="3"/>
  <c r="D92" i="3"/>
  <c r="K81" i="3"/>
  <c r="J81" i="3"/>
  <c r="I81" i="3"/>
  <c r="H81" i="3"/>
  <c r="G81" i="3"/>
  <c r="F81" i="3"/>
  <c r="E81" i="3"/>
  <c r="D81" i="3"/>
  <c r="L70" i="3"/>
  <c r="K70" i="3"/>
  <c r="J70" i="3"/>
  <c r="I70" i="3"/>
  <c r="H70" i="3"/>
  <c r="G70" i="3"/>
  <c r="F70" i="3"/>
  <c r="E70" i="3"/>
  <c r="D70" i="3"/>
  <c r="K57" i="3"/>
  <c r="J57" i="3"/>
  <c r="I57" i="3"/>
  <c r="H57" i="3"/>
  <c r="G57" i="3"/>
  <c r="F57" i="3"/>
  <c r="E57" i="3"/>
  <c r="D57" i="3"/>
  <c r="K43" i="3"/>
  <c r="J43" i="3"/>
  <c r="I43" i="3"/>
  <c r="H43" i="3"/>
  <c r="G43" i="3"/>
  <c r="F43" i="3"/>
  <c r="E43" i="3"/>
  <c r="D43" i="3"/>
  <c r="G30" i="3"/>
  <c r="F30" i="3"/>
  <c r="E30" i="3"/>
  <c r="D30" i="3"/>
  <c r="H29" i="3"/>
  <c r="H28" i="3"/>
  <c r="H27" i="3"/>
  <c r="H26" i="3"/>
  <c r="H25" i="3"/>
  <c r="H24" i="3"/>
  <c r="H23" i="3"/>
  <c r="H30" i="3" s="1"/>
  <c r="O19" i="3"/>
  <c r="N19" i="3"/>
  <c r="M19" i="3"/>
  <c r="L19" i="3"/>
  <c r="K19" i="3"/>
  <c r="J19" i="3"/>
  <c r="I19" i="3"/>
  <c r="G19" i="3"/>
  <c r="F19" i="3"/>
  <c r="E19" i="3"/>
  <c r="D19" i="3"/>
  <c r="H19" i="3" s="1"/>
  <c r="H18" i="3"/>
  <c r="H17" i="3"/>
  <c r="H16" i="3"/>
  <c r="H15" i="3"/>
  <c r="H14" i="3"/>
  <c r="H13" i="3"/>
  <c r="H12" i="3"/>
</calcChain>
</file>

<file path=xl/comments1.xml><?xml version="1.0" encoding="utf-8"?>
<comments xmlns="http://schemas.openxmlformats.org/spreadsheetml/2006/main">
  <authors>
    <author>Klaudia Jędrzejewska</author>
  </authors>
  <commentList>
    <comment ref="D135" authorId="0" shapeId="0">
      <text>
        <r>
          <rPr>
            <b/>
            <sz val="9"/>
            <color indexed="81"/>
            <rFont val="Tahoma"/>
            <family val="2"/>
            <charset val="238"/>
          </rPr>
          <t>Klaudia Jędrzejewska:</t>
        </r>
        <r>
          <rPr>
            <sz val="9"/>
            <color indexed="81"/>
            <rFont val="Tahoma"/>
            <family val="2"/>
            <charset val="238"/>
          </rPr>
          <t xml:space="preserve">
szkolenie świecie 1/20
warsztaty kosmetyczne 1/28
szkolenie pszczelarze 2/260
warsztaty miodowe lato 3/60
szkolenia kpir 22/484
szkolenia liderzy 2/175
szkolenie LGD 1/33
PK 2/5
</t>
        </r>
      </text>
    </comment>
    <comment ref="E135" authorId="0" shapeId="0">
      <text>
        <r>
          <rPr>
            <b/>
            <sz val="9"/>
            <color indexed="81"/>
            <rFont val="Tahoma"/>
            <family val="2"/>
            <charset val="238"/>
          </rPr>
          <t>Klaudia Jędrzejewska:</t>
        </r>
        <r>
          <rPr>
            <sz val="9"/>
            <color indexed="81"/>
            <rFont val="Tahoma"/>
            <family val="2"/>
            <charset val="238"/>
          </rPr>
          <t xml:space="preserve">
wizyta jajkowo 1/120
wizyta inkubator 1/20
wizyta BioFach 1/200
wizyta od pola 1/200
wizyta mechanizacja 1/81
wizyta Hiszpania 1/190
wizyta Szwecja 1/8
wizyta Opolskie 1/90 </t>
        </r>
      </text>
    </comment>
  </commentList>
</comments>
</file>

<file path=xl/comments2.xml><?xml version="1.0" encoding="utf-8"?>
<comments xmlns="http://schemas.openxmlformats.org/spreadsheetml/2006/main">
  <authors>
    <author>SIR</author>
  </authors>
  <commentList>
    <comment ref="O16" authorId="0" shapeId="0">
      <text>
        <r>
          <rPr>
            <b/>
            <sz val="9"/>
            <color indexed="81"/>
            <rFont val="Tahoma"/>
            <family val="2"/>
            <charset val="238"/>
          </rPr>
          <t>SIR:</t>
        </r>
        <r>
          <rPr>
            <sz val="9"/>
            <color indexed="81"/>
            <rFont val="Tahoma"/>
            <family val="2"/>
            <charset val="238"/>
          </rPr>
          <t xml:space="preserve">
nie wiem czy ta trójka powinna tu być, masówki tu wrzuciłam a może nie powinnam</t>
        </r>
      </text>
    </comment>
  </commentList>
</comments>
</file>

<file path=xl/sharedStrings.xml><?xml version="1.0" encoding="utf-8"?>
<sst xmlns="http://schemas.openxmlformats.org/spreadsheetml/2006/main" count="7264" uniqueCount="411">
  <si>
    <t xml:space="preserve">Wspólna Statystyka Sieci Obszarów Wiejskich </t>
  </si>
  <si>
    <t>Plan działania KSOW na lata 2014-2020</t>
  </si>
  <si>
    <t>Jednostka wdrażająca: DOLNOŚLĄSKA JR KSOW</t>
  </si>
  <si>
    <t>Stan na: 31.12.2018</t>
  </si>
  <si>
    <t>1. Wydarzenia</t>
  </si>
  <si>
    <r>
      <t>Komentarz</t>
    </r>
    <r>
      <rPr>
        <sz val="10"/>
        <color theme="1"/>
        <rFont val="Calibri"/>
        <family val="2"/>
        <scheme val="minor"/>
      </rPr>
      <t xml:space="preserve"> (proszę uwzględnić tutaj wszelkie trudności / problemy z definicją/ pomiarem wskaźników; i / lub określić, co oznacza temat "inny")</t>
    </r>
  </si>
  <si>
    <t>Rok</t>
  </si>
  <si>
    <t>Zasięg geograficzny</t>
  </si>
  <si>
    <r>
      <t>Zakres tematyczny (</t>
    </r>
    <r>
      <rPr>
        <b/>
        <sz val="11"/>
        <color rgb="FFFF0000"/>
        <rFont val="Calibri"/>
        <family val="2"/>
        <charset val="238"/>
        <scheme val="minor"/>
      </rPr>
      <t>out of which</t>
    </r>
    <r>
      <rPr>
        <b/>
        <sz val="11"/>
        <color theme="1"/>
        <rFont val="Calibri"/>
        <family val="2"/>
        <scheme val="minor"/>
      </rPr>
      <t>…)</t>
    </r>
  </si>
  <si>
    <t>1.1 Liczba zorganizowanych wydarzeń</t>
  </si>
  <si>
    <t>Lokalny/regionalny</t>
  </si>
  <si>
    <t>Krajowy</t>
  </si>
  <si>
    <t>Międzynarodowy</t>
  </si>
  <si>
    <t>Imprezy masowe</t>
  </si>
  <si>
    <t>RAZEM</t>
  </si>
  <si>
    <t>z naciskiem na "Transfer wiedzy i Innowacje" (P1)</t>
  </si>
  <si>
    <t>z naciskiem na "Żywotność i konkurencyjność gospodarstw" (P2)</t>
  </si>
  <si>
    <t>z naciskiem na "Organizację łańcucha żywnościowego i zarządzanie ryzykiem" (P3)</t>
  </si>
  <si>
    <t>z naciskiem na  "Przywracanie, ochronę i ulepszanie ekosystemów" (P4)</t>
  </si>
  <si>
    <r>
      <t>z naciskiem na "Efektywne gospodarowanie zasobami i gospodarkę odporną na zmiany klimatu"</t>
    </r>
    <r>
      <rPr>
        <sz val="10"/>
        <color theme="1"/>
        <rFont val="Calibri"/>
        <family val="2"/>
        <charset val="238"/>
        <scheme val="minor"/>
      </rPr>
      <t xml:space="preserve"> (P5)</t>
    </r>
  </si>
  <si>
    <t>z naciskiem na "Włączenie społeczne i rozwój gospodarczy" (P6)</t>
  </si>
  <si>
    <t>Inne (lub mieszane) tematy (proszę  wymienić w komentarzach)</t>
  </si>
  <si>
    <t xml:space="preserve">1.2 Liczba uczestników wydarzeń </t>
  </si>
  <si>
    <r>
      <t>Komentarze</t>
    </r>
    <r>
      <rPr>
        <sz val="10"/>
        <color theme="1"/>
        <rFont val="Calibri"/>
        <family val="2"/>
        <scheme val="minor"/>
      </rPr>
      <t xml:space="preserve"> (proszę uwzględnić tutaj wszelkie trudności / problemy z definicją/ pomiarem wskaźników. </t>
    </r>
  </si>
  <si>
    <t>2. Narzędzia komunikacji</t>
  </si>
  <si>
    <t>2.1 Liczba publikacji</t>
  </si>
  <si>
    <r>
      <t xml:space="preserve">Komentarze </t>
    </r>
    <r>
      <rPr>
        <sz val="10"/>
        <color theme="1"/>
        <rFont val="Calibri"/>
        <family val="2"/>
        <charset val="238"/>
        <scheme val="minor"/>
      </rPr>
      <t>(proszę uwzględnić tutaj wszelkie trudności / problemy z definicją/ pomiarem wskaźników; i / lub określić, co oznacza temat "inny"</t>
    </r>
    <r>
      <rPr>
        <sz val="10"/>
        <color theme="1"/>
        <rFont val="Calibri"/>
        <family val="2"/>
        <scheme val="minor"/>
      </rPr>
      <t>/ inne aktywności)</t>
    </r>
  </si>
  <si>
    <t xml:space="preserve">Liczba publikacji wydanych przez KSOW </t>
  </si>
  <si>
    <t>Zakres tematyczny</t>
  </si>
  <si>
    <t>z naciskiem na "Efektywne gospodarowanie zasobami i gospodarkę odporną na zmiany klimatu" (P5)</t>
  </si>
  <si>
    <t xml:space="preserve"> Komentarz:</t>
  </si>
  <si>
    <t>3. Zbieranie, analiza i upowszechnianie dobrych praktyk/przykłady projektów</t>
  </si>
  <si>
    <t>3.1 Liczba zebranych i upowszechnionych przykładów dobrych praktyk</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</si>
  <si>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r>
      <rPr>
        <sz val="10"/>
        <color theme="1"/>
        <rFont val="Calibri"/>
        <family val="2"/>
        <scheme val="minor"/>
      </rPr>
      <t xml:space="preserve">. Należy również uwzględnić jak dobre praktyki są gromadzone i upowszechniane). </t>
    </r>
  </si>
  <si>
    <t>Liczba dobrych praktyk</t>
  </si>
  <si>
    <t>Komentarz:</t>
  </si>
  <si>
    <t>4. Wymiany tematyczne i analityczne</t>
  </si>
  <si>
    <t>4.1 Liczba utworzonych grup tematycznych i zorganizowanych spotkań</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</si>
  <si>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</si>
  <si>
    <t>Liczba inicjatyw tematycznych według głównego obszaru tematycznego</t>
  </si>
  <si>
    <t>Liczba grup tematycznych</t>
  </si>
  <si>
    <t>Liczba spotkań grup tematycznych</t>
  </si>
  <si>
    <t xml:space="preserve">4.2 Liczba konsultacji tematycznych </t>
  </si>
  <si>
    <r>
      <t>Komentarze</t>
    </r>
    <r>
      <rPr>
        <sz val="10"/>
        <color theme="1"/>
        <rFont val="Calibri"/>
        <family val="2"/>
        <charset val="238"/>
        <scheme val="minor"/>
      </rPr>
      <t xml:space="preserve"> (proszę uwzględnić tutaj wszelkie trudności / problemy z definicją/ pomiarem wskaźników; i / lub określić, co oznacza temat "inny"/ inne aktywności)</t>
    </r>
  </si>
  <si>
    <t>Konsultacje tematyczne z partnerami/interesariuszami (włączając grupy koordynacyjne)</t>
  </si>
  <si>
    <t xml:space="preserve">Liczba konsultacji tematycznych według głównego obszaru tematycznego </t>
  </si>
  <si>
    <t>4.3 Liczba utworzonych innych inicjatyw tematycznych</t>
  </si>
  <si>
    <t>Inne (włączając inicjatywy badawcze dotyczące określonych tematów, fora internetowe, szkolenia tematyczne)</t>
  </si>
  <si>
    <t xml:space="preserve">Liczba inicjatyw tematycznych według głównego obszaru tematycznego </t>
  </si>
  <si>
    <t xml:space="preserve">4.4 Liczba osób zaangażowanych w poszczególne inicjatywy </t>
  </si>
  <si>
    <r>
      <t>Komentarze</t>
    </r>
    <r>
      <rPr>
        <sz val="10"/>
        <color theme="1"/>
        <rFont val="Calibri"/>
        <family val="2"/>
        <charset val="238"/>
        <scheme val="minor"/>
      </rPr>
      <t xml:space="preserve"> (proszę uwzględnić tutaj wszelkie trudności / problemy z definicją/ pomiarem wskaźników; </t>
    </r>
  </si>
  <si>
    <t>Liczba osób według typu inicjatywy</t>
  </si>
  <si>
    <t>Grupy tematyczne</t>
  </si>
  <si>
    <t>Tematyczne grupy konsultacyjne z partnerami (włączając grupy koordynacyjne)</t>
  </si>
  <si>
    <t xml:space="preserve">Inne (w tym badania tematyczne, fora internetowe) </t>
  </si>
  <si>
    <t>5. Współpraca i wkład do działań ENRD i EIP</t>
  </si>
  <si>
    <t>5.1 Liczba materiałów informacyjnych przekazywanych ENRD i EIP – AGRI</t>
  </si>
  <si>
    <r>
      <t>Komentarze</t>
    </r>
    <r>
      <rPr>
        <sz val="10"/>
        <color theme="1"/>
        <rFont val="Calibri"/>
        <family val="2"/>
        <charset val="238"/>
        <scheme val="minor"/>
      </rPr>
      <t xml:space="preserve"> (proszę uwzględnić tutaj wszelkie trudności / problemy z definicją/ pomiarem wskaźników; i / lub określić, co oznacza temat "inny"/ inne aktywności</t>
    </r>
    <r>
      <rPr>
        <sz val="10"/>
        <color theme="1"/>
        <rFont val="Calibri"/>
        <family val="2"/>
        <scheme val="minor"/>
      </rPr>
      <t>)</t>
    </r>
  </si>
  <si>
    <t>Prezentacje, publikacje i studia przypadku</t>
  </si>
  <si>
    <t>W tym dostarczonych do…</t>
  </si>
  <si>
    <t>Liczba artykułów /informacji do publikacji ENRD/ EIP</t>
  </si>
  <si>
    <t xml:space="preserve"> Liczba przekazanych przykładów dobrych praktyk/ studiów przypadków </t>
  </si>
  <si>
    <t>Inne informacje (proszę wyszczególnić jakie w rubryce "Komentarze")</t>
  </si>
  <si>
    <t>Całkowita liczba informacji</t>
  </si>
  <si>
    <t>…ENRD CP</t>
  </si>
  <si>
    <t>…Evaluation HD</t>
  </si>
  <si>
    <t>…EIP SP</t>
  </si>
  <si>
    <t>5.2 Liczba materiałów informacyjnych ENRD CP i Helpdesk lub EIP-AGRI SP przetłumaczona i / lub rozpowszechniona w ramach KSOW</t>
  </si>
  <si>
    <r>
      <t xml:space="preserve">Liczba  informacji </t>
    </r>
    <r>
      <rPr>
        <b/>
        <sz val="10"/>
        <color theme="1"/>
        <rFont val="Calibri"/>
        <family val="2"/>
        <scheme val="minor"/>
      </rPr>
      <t xml:space="preserve">ENRD CP </t>
    </r>
    <r>
      <rPr>
        <sz val="10"/>
        <color theme="1"/>
        <rFont val="Calibri"/>
        <family val="2"/>
        <charset val="238"/>
        <scheme val="minor"/>
      </rPr>
      <t>przetłumaczonych na język polski</t>
    </r>
  </si>
  <si>
    <r>
      <t xml:space="preserve">Liczba informacji </t>
    </r>
    <r>
      <rPr>
        <b/>
        <sz val="10"/>
        <color theme="1"/>
        <rFont val="Calibri"/>
        <family val="2"/>
        <charset val="238"/>
        <scheme val="minor"/>
      </rPr>
      <t xml:space="preserve">ENRD CP </t>
    </r>
    <r>
      <rPr>
        <sz val="10"/>
        <color theme="1"/>
        <rFont val="Calibri"/>
        <family val="2"/>
        <charset val="238"/>
        <scheme val="minor"/>
      </rPr>
      <t>rozpowszechnionych w Polsce</t>
    </r>
  </si>
  <si>
    <r>
      <t xml:space="preserve">Liczba  informacji </t>
    </r>
    <r>
      <rPr>
        <b/>
        <sz val="10"/>
        <color theme="1"/>
        <rFont val="Calibri"/>
        <family val="2"/>
        <charset val="238"/>
        <scheme val="minor"/>
      </rPr>
      <t xml:space="preserve">Evaluation HD </t>
    </r>
    <r>
      <rPr>
        <sz val="10"/>
        <color theme="1"/>
        <rFont val="Calibri"/>
        <family val="2"/>
        <charset val="238"/>
        <scheme val="minor"/>
      </rPr>
      <t>przetłumaczonych na język polski</t>
    </r>
  </si>
  <si>
    <r>
      <t xml:space="preserve">Liczba informacji </t>
    </r>
    <r>
      <rPr>
        <b/>
        <sz val="10"/>
        <color theme="1"/>
        <rFont val="Calibri"/>
        <family val="2"/>
        <charset val="238"/>
        <scheme val="minor"/>
      </rPr>
      <t>Evaluation HD</t>
    </r>
    <r>
      <rPr>
        <sz val="10"/>
        <color theme="1"/>
        <rFont val="Calibri"/>
        <family val="2"/>
        <scheme val="minor"/>
      </rPr>
      <t xml:space="preserve"> rozpowszechnionych w Polsce</t>
    </r>
  </si>
  <si>
    <r>
      <t xml:space="preserve">Liczba  informacji </t>
    </r>
    <r>
      <rPr>
        <b/>
        <sz val="10"/>
        <color theme="1"/>
        <rFont val="Calibri"/>
        <family val="2"/>
        <charset val="238"/>
        <scheme val="minor"/>
      </rPr>
      <t xml:space="preserve">EIP-SP </t>
    </r>
    <r>
      <rPr>
        <sz val="10"/>
        <color theme="1"/>
        <rFont val="Calibri"/>
        <family val="2"/>
        <scheme val="minor"/>
      </rPr>
      <t>przetłumaczonych na język polski</t>
    </r>
  </si>
  <si>
    <r>
      <t xml:space="preserve">Liczba informacji </t>
    </r>
    <r>
      <rPr>
        <b/>
        <sz val="10"/>
        <color theme="1"/>
        <rFont val="Calibri"/>
        <family val="2"/>
        <charset val="238"/>
        <scheme val="minor"/>
      </rPr>
      <t xml:space="preserve">EIP-SP </t>
    </r>
    <r>
      <rPr>
        <sz val="10"/>
        <color theme="1"/>
        <rFont val="Calibri"/>
        <family val="2"/>
        <scheme val="minor"/>
      </rPr>
      <t>rozpowszechnionych w Polsce</t>
    </r>
  </si>
  <si>
    <t>Całkowita liczba informacji przetłumaczonych na język polski</t>
  </si>
  <si>
    <t>Całkowita liczba informacji rozpowszechnionych w Polsce</t>
  </si>
  <si>
    <t>6. Budowanie umiejętności i szkolenia</t>
  </si>
  <si>
    <t>6.1 Liczba działań o charakterze szkoleniowym</t>
  </si>
  <si>
    <t xml:space="preserve">               Rok</t>
  </si>
  <si>
    <t>Rodzaj działania szkoleniowego</t>
  </si>
  <si>
    <t>Warsztaty / szkolenia</t>
  </si>
  <si>
    <t>Wizyty studyjne / zorganizowane wyjazdy terenowe</t>
  </si>
  <si>
    <t>Inne (proszę doprecyzuj w "Komentarzu")</t>
  </si>
  <si>
    <t xml:space="preserve">Sumaryczna liczba działań szkoleniowych </t>
  </si>
  <si>
    <t>Liczba dni szkolenia</t>
  </si>
  <si>
    <t>Komentarz: Inne - dotyczy szkolenia z mieszanymi priorytetami: tj. Szkolenie pt. "Poprawianie zdrowotności dolnośląskich pasiek pszczelich", poz. 8 w PO KSOW 2018-2019</t>
  </si>
  <si>
    <t>6.2 Liczba osób biorących udział w działaniach szkoleniowych</t>
  </si>
  <si>
    <r>
      <t xml:space="preserve">Komentarze </t>
    </r>
    <r>
      <rPr>
        <sz val="10"/>
        <color theme="1"/>
        <rFont val="Calibri"/>
        <family val="2"/>
        <charset val="238"/>
        <scheme val="minor"/>
      </rPr>
      <t>(proszę uwzględnić tutaj wszelkie trudności / problemy z definicją/ pomiarem wskaźników; i / lub określić, co oznacza temat "inny"/ inne aktywności</t>
    </r>
    <r>
      <rPr>
        <sz val="10"/>
        <color theme="1"/>
        <rFont val="Calibri"/>
        <family val="2"/>
        <scheme val="minor"/>
      </rPr>
      <t>)</t>
    </r>
  </si>
  <si>
    <t>Grupy interesariuszy</t>
  </si>
  <si>
    <t>Warsztaty/ szkolenia</t>
  </si>
  <si>
    <t>Wizyty studyjne/ wyjazdy terenowe</t>
  </si>
  <si>
    <t xml:space="preserve">Inne </t>
  </si>
  <si>
    <t>Razem</t>
  </si>
  <si>
    <t>liczba przedstawicieli IZ/AP</t>
  </si>
  <si>
    <t>liczba przedstawicieli LGD</t>
  </si>
  <si>
    <t>liczba doradców rolnych i przedstawicieli SIR</t>
  </si>
  <si>
    <t>liczba interesariuszy i organizacji  (rolnicy, organizacje rolnicze, organizacje pozarządowe itp.)</t>
  </si>
  <si>
    <t>inne (lub mieszane) tematy (proszę  wymienić w komentarzach)</t>
  </si>
  <si>
    <t>Komentarz: inne- przedstawiciele JST będący potencjalnymi beneficjentami/beneficjentami działania "Podstawowe usługi i odnowa wsi na obszarach wiejskich"</t>
  </si>
  <si>
    <t xml:space="preserve">7. Wsparcie dla LEADER / RLKS, współpracy międzyterytorialnej i wspólnych inicjatyw </t>
  </si>
  <si>
    <t>7.1 Liczba inicjatyw współpracy</t>
  </si>
  <si>
    <r>
      <t xml:space="preserve">Komentarze </t>
    </r>
    <r>
      <rPr>
        <sz val="10"/>
        <color theme="1"/>
        <rFont val="Calibri"/>
        <family val="2"/>
        <charset val="238"/>
        <scheme val="minor"/>
      </rPr>
      <t>(proszę uwzględnić tutaj wszelkie trudności / problemy z definicją/ pomiarem wskaźników)</t>
    </r>
  </si>
  <si>
    <t xml:space="preserve">             Rok</t>
  </si>
  <si>
    <t>Liczba wydarzeń poświęconych współpracy</t>
  </si>
  <si>
    <t>Liczba osób zaangażowanych w te wydarzenia</t>
  </si>
  <si>
    <t>… w tym liczba osób z innych Państw Członkowskich UE</t>
  </si>
  <si>
    <t>… w tym liczba osób z innych regionów (do wypełnienia tylko przez JR)</t>
  </si>
  <si>
    <t>8. Budżet sieci w PLN</t>
  </si>
  <si>
    <t>Komentarz</t>
  </si>
  <si>
    <t>1. Koszty związane z działalnością/planem działania</t>
  </si>
  <si>
    <t>Koszty funkcjonowania: wynagrodzenia pracowników SR KSOW, wyjazdy służbowe, koszt szkolenia antydyskryminacyjnego</t>
  </si>
  <si>
    <t xml:space="preserve">- w tym wydarzenia </t>
  </si>
  <si>
    <t>- w tym związane z narzędziami komunikacji</t>
  </si>
  <si>
    <t xml:space="preserve">- w tym związane z innymi działaniami </t>
  </si>
  <si>
    <t>2. Koszty funkcjonowania (wszystkie koszty administracyjne, materiały, koordynacja, itp.) Proszę określ je w komentarzach.</t>
  </si>
  <si>
    <t>Całkowite wsparcie (wydatki publiczne) na utworzenie i prowadzenie KSOW</t>
  </si>
  <si>
    <t>załącznik nr 2</t>
  </si>
  <si>
    <t>Jednostka wdrażająca: Województwo Lubelskie</t>
  </si>
  <si>
    <t xml:space="preserve">Stan na: 31.12.2018 r. </t>
  </si>
  <si>
    <t>Komentarz: Inne dotyczą spotkań Wojewódzkej Grupy Roboczej ds. KSOW Województwa Lubelskiego</t>
  </si>
  <si>
    <t xml:space="preserve">Komentarz:  95 dobrych praktyk zostało zebranych i przedstawionych w publikacji pt.:"Dobre praktyki w realizacji zadań z zakresu Programu Rozwoju Obszarów Wiejskich na lata 2014-2020 na terenie powiatu lubelskiego". Dobre praktyki zostały zebrane przez Lokalną Grupę Działania "Kraina wokół Lublina" oraz upubliczniane na wydarzeniach organizwoanych w województwie lubelskim. Zakres tematyczny (inne) dobrych praktyk obejmuje: aktywizację społeczna seniorów, doposażenie zespołów i zorganizwanych grup  działających w sferze kultury, tworzenie sieci wymiany doświadczeń i dobrych praktyk w zakresie integracji społeczno - kulturalnej, warsztaty i szkolenia dla animatorów i liderów, rozwój ogólnodostępnej i niekomercyjnej infrastruktury turystycznej, rekreacyjnej lub kulturalnej, budowa, przebudowa, rozbudowa obiektów i infrastruktury w obszarze rekreacji i wypoczynku, rozwój przedsiębiorczości. </t>
  </si>
  <si>
    <t xml:space="preserve">  Spotkanie odbyło się w 2018 roku i było związane miedzy innymi z zaopiniowaniem  Planu operacyjnego  na 2018 rok oraz Działania na lata 2014-2020. Wojewódzka Grupa Robocza ds. KSOW w 2018 roku pozytywnie zaopiniowała sześć Uchwał </t>
  </si>
  <si>
    <t xml:space="preserve">Komentarz: </t>
  </si>
  <si>
    <t>Komentarz: zostały tu uwzglednione trzy konferencje dotyczace określonych tematów tj.: hodowli koni zimnokrwistych, wsparcia alternatywnych form produkcji rolnej wobec ASF oraz pszczelarstwa w rozwoju ekologicznego rolnictwa</t>
  </si>
  <si>
    <t>Komentarz: W Innne została wpisana liczba uczestników inicjatywy tj. konferencji tematycznych wymienionych w tabeli 4.3.</t>
  </si>
  <si>
    <t xml:space="preserve">Komentarz: Inne czyli mieszkańcy miejscowośći w których były organizowane warsztaty, szkoły, przedsiębiorcy, </t>
  </si>
  <si>
    <t>Jednostka wdrażająca: Samorząd Województwa Lubuskiego</t>
  </si>
  <si>
    <t>Stan na: 31 grudnia 2018</t>
  </si>
  <si>
    <t xml:space="preserve">Zakres tematyczny </t>
  </si>
  <si>
    <t>Komentarz: 1) powyżej wymienione imprezy masowe, były każdorazowo imprezami w plenerze, otwartymi, nie ma możliwości oszacowania udziału uczestników</t>
  </si>
  <si>
    <t xml:space="preserve"> Komentarz: W tym 2 artykuły w prasie, publikacja na temat produktów tradycyjnych oraz mapa imprez cyklicznych odbywających się na terenie województwa lubuskiego</t>
  </si>
  <si>
    <t>Komentarz: Grupa temtayczna - w postaci Wojwódzkiej Grupy Robczoej ds.. KSOW woj.. Lubuskiego. Liczba spotkań - 11, w tym 1 spotkanie WGR oraz 10 podjętych uchwał. Wybrano priorytet "inne" z uwagi na szeroką mieszaną tematykę jaką zajmuje się WGR (wszystkie 6 priorytetów).</t>
  </si>
  <si>
    <t>Komentarz: 4 szkolenia tematyczne, w tym 2 szkolenia dla Lokalnych Grup Działania, szkolenie pn. Społeczny Lider Obszarów Wiejskich, szkolenie pn. Forum Liderów Obszarów Wiejskich</t>
  </si>
  <si>
    <t>Jednostka wdrażająca: Samorząd Województwa Łódzkiego</t>
  </si>
  <si>
    <t>Stan na: 31-12-2018</t>
  </si>
  <si>
    <t xml:space="preserve">Samorząd województwa łódzkiego uczestniczył w imprezach masowych: Dożynki Wojewódzkie, Dni Otwarte Funduszy Europejskich w Poddębicach, Mixer Regionalny Łódzkie 2018, Noc Świętojańska w Gajewnikach .  Zakres tematyczny inne lub mieszane dotyczy udziału samorządu województwa łódzkiego  w wydarzeniach organizowanych przez jednostki samorządu terytorialnego, powiatowego, koła gospodyń wiejskich, sieć LGD, beneficjentów PROW 2014-2020 , gdzie w  ramach  seminariów  informacyjnych przekazywano wiedzę dotyczącą możliwości wykorzystania środków w ramach PROW 2014-2020 oraz uwzględniono spotkania Wojewódzkiej Grupy Roboczej ds. KSOW. </t>
  </si>
  <si>
    <t xml:space="preserve"> Komentarz: W 2018 r. opublikowano  cztery numery kwartalnika "Wprowadzamy Zmiany" tematyka dotycząca pozyskiwania środków w ramach PROW 2014-2020, działaniach realizowanych w ramach KSOW oraz realizowanych projektach na obszarach wiejskich, dlatego zakwalifikowano do tematów mieszanych. </t>
  </si>
  <si>
    <t xml:space="preserve">Komentarz: Wojewódzka Grupa Robocza ds. KSOW w ramach PROW 2014-2020 została powołana w lipcu 2015 r , a jej zakres prac dotyczy całego obszaru KSOW. </t>
  </si>
  <si>
    <t xml:space="preserve">Komentarz: Wojewódzka Grupa Robocza zajmuje się tematyką dotyczącą całego KSOW w ramach PROW 2014-2020 , a tym samym poruszane są problemy dotyczące obszarów wiejskich we wszystkich aspektach. </t>
  </si>
  <si>
    <t xml:space="preserve">Komentarz: Organizacja przez samorząd województwa łódzkiego dziesięciu szkolenia dla beneficjentów poddziałania 19.2 "Wsparcie na wdrażanie operacji  w ramach rozwoju lokalnego kierowanego przez społeczność " w ramach inicjatywy LEADER. </t>
  </si>
  <si>
    <t>Komentarz: Uczestnicy szkoleń to: potencjalni beneficjenci działań PROW 2014-2020, przedsiębiorcy, młodzi rolnicy , przedstawiciele jednostek samorządu terytorialnego, dzieci i młodzież z obszarów wiejskich województwa łódzkiego, koła gospodyń wiejskich, pszczelarze, przedstawiciele LGD.</t>
  </si>
  <si>
    <t xml:space="preserve">koszty: wynagrodzeń pracowników Jednostki Regionalne KSOW WŁ, najmu powierzchni biurowej wraz ze sprzątaniem, zakupu sprzętu biurowego i komputerowego, delegacji krajowych i zagranicznych pracowników Jednostki Regionalnej KSOW WŁ,organizacji spotkań wojewódzkiej grupy roboczej KSOW/partnerów KSOW na poziomie województwa, opłaty pocztowe i telekomunikacyjne, usługi drukowania 
</t>
  </si>
  <si>
    <r>
      <t xml:space="preserve">Jednostka wdrażająca: </t>
    </r>
    <r>
      <rPr>
        <b/>
        <sz val="12"/>
        <color rgb="FFFF0000"/>
        <rFont val="Calibri"/>
        <family val="2"/>
        <charset val="238"/>
        <scheme val="minor"/>
      </rPr>
      <t>SAMORZĄD WOJEWÓDZTWA OPOLSKIEGO</t>
    </r>
  </si>
  <si>
    <r>
      <t xml:space="preserve">Stan na: </t>
    </r>
    <r>
      <rPr>
        <b/>
        <sz val="12"/>
        <color rgb="FFFF0000"/>
        <rFont val="Calibri"/>
        <family val="2"/>
        <charset val="238"/>
        <scheme val="minor"/>
      </rPr>
      <t>31.12.2018 r.</t>
    </r>
  </si>
  <si>
    <r>
      <rPr>
        <b/>
        <sz val="10"/>
        <color theme="1"/>
        <rFont val="Calibri"/>
        <family val="2"/>
        <charset val="238"/>
        <scheme val="minor"/>
      </rPr>
      <t xml:space="preserve">Komentarz: </t>
    </r>
    <r>
      <rPr>
        <sz val="10"/>
        <color theme="1"/>
        <rFont val="Calibri"/>
        <family val="2"/>
        <charset val="238"/>
        <scheme val="minor"/>
      </rPr>
      <t xml:space="preserve">                                                                                                                                                                                                                                                                      </t>
    </r>
    <r>
      <rPr>
        <b/>
        <sz val="10"/>
        <color rgb="FFFF0000"/>
        <rFont val="Calibri"/>
        <family val="2"/>
        <charset val="238"/>
        <scheme val="minor"/>
      </rPr>
      <t>2018:</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Wydarzenia o zasięgu krajowym</t>
    </r>
    <r>
      <rPr>
        <sz val="10"/>
        <color theme="1"/>
        <rFont val="Calibri"/>
        <family val="2"/>
        <charset val="238"/>
        <scheme val="minor"/>
      </rPr>
      <t xml:space="preserve">:                                                                                                                                                                                                                                                                                                       1. Szkolenie dla JR KSOW, CDR i ODR – nabór projektów w 2018r. w ramach Konkursu nr 2/2018                                                                                                                         2. Szkolenie dot. oceny wniosków konkursu 3/2019 KSOW                                                                                                                                                                                                                                                                                                                                                                                                                                                                                                                                                                                                                                                                              </t>
    </r>
    <r>
      <rPr>
        <b/>
        <sz val="10"/>
        <color theme="1"/>
        <rFont val="Calibri"/>
        <family val="2"/>
        <charset val="238"/>
        <scheme val="minor"/>
      </rPr>
      <t xml:space="preserve">Wydarzenia o zasięgu międzynarodowym:  </t>
    </r>
    <r>
      <rPr>
        <sz val="10"/>
        <color theme="1"/>
        <rFont val="Calibri"/>
        <family val="2"/>
        <charset val="238"/>
        <scheme val="minor"/>
      </rPr>
      <t xml:space="preserve">     </t>
    </r>
    <r>
      <rPr>
        <sz val="10"/>
        <color theme="1"/>
        <rFont val="Calibri"/>
        <family val="2"/>
        <charset val="238"/>
        <scheme val="minor"/>
      </rPr>
      <t xml:space="preserve">                                                                                                                                                                                                                                                                                                1. Targi Smaki Regionów w ramach Międzynarodowych Targów Polagra Food w Poznaniu                                                                                                                         2. Wyjazd na finał konkursu o Europejską Nagrodę Odnowy Wsi 2018 (Austria)                                                                                                                                                                             </t>
    </r>
    <r>
      <rPr>
        <b/>
        <sz val="10"/>
        <color theme="1"/>
        <rFont val="Calibri"/>
        <family val="2"/>
        <charset val="238"/>
        <scheme val="minor"/>
      </rPr>
      <t xml:space="preserve">Imprezy masowe: </t>
    </r>
    <r>
      <rPr>
        <sz val="10"/>
        <color theme="1"/>
        <rFont val="Calibri"/>
        <family val="2"/>
        <charset val="238"/>
        <scheme val="minor"/>
      </rPr>
      <t xml:space="preserve">                                                                                                                                                                                                                                                                                                                         1. Festiwal Twórczości Artystycznej "Opolskie Szmaragdy"                                                                                                                                                                                                                                                                            2. Dożynki Wojewódzkie 2018 w Paczkowie </t>
    </r>
    <r>
      <rPr>
        <i/>
        <sz val="10"/>
        <color theme="1"/>
        <rFont val="Calibri"/>
        <family val="2"/>
        <charset val="238"/>
        <scheme val="minor"/>
      </rPr>
      <t xml:space="preserve">(liczona dwa razy, gdyż operacja była realizowana w ramach PO i Planu komunikacyjnego) </t>
    </r>
    <r>
      <rPr>
        <sz val="10"/>
        <color theme="1"/>
        <rFont val="Calibri"/>
        <family val="2"/>
        <charset val="238"/>
        <scheme val="minor"/>
      </rPr>
      <t xml:space="preserve">                                                                                                                                                                                                      3. Dożynki Prezydenckie w Spale                                                                                                                                                                                                                              4. Regionalna Wystawa Zwierząt Hodowlanych - Agrofestival                                                                                                                                                              5. "Opolska Wioska Smaków i Tradycyji"                                                                                                                                                                                                        6. "Dożynki Powiatowo-Gminne Złotniki gm. Prószków 2018"                                                                                                                                                                7. Wystawa Rolnicza Opolagra 2018                                                                                                                                                                                                              8. Dni Otwartych Funduszy Europejskich w Opolu                                                                                                                                                                                               9. Wystawa - Jubileusz 30-lecia Zespołu Opolskich Parków Krajobrazowych                                                                                                                                                                                                                      </t>
    </r>
    <r>
      <rPr>
        <b/>
        <sz val="10"/>
        <color theme="1"/>
        <rFont val="Calibri"/>
        <family val="2"/>
        <charset val="238"/>
        <scheme val="minor"/>
      </rPr>
      <t xml:space="preserve">Zakres tematyczny - Inne:        </t>
    </r>
    <r>
      <rPr>
        <sz val="10"/>
        <color theme="1"/>
        <rFont val="Calibri"/>
        <family val="2"/>
        <charset val="238"/>
        <scheme val="minor"/>
      </rPr>
      <t xml:space="preserve">                                                                                                                                                                                                                                                                                                                                   1. szkolenie z zakresu RODO                                                                                                                                                                                                                                        2. Szkolenie dla JR KSOW, CDR i ODR – nabór projektów w 2018r. w ramach Konkursu nr 2/2018                                                                                                     3. Szkolenie dot. oceny wniosków konkursu 3/2019 KSOW                                                                                                                                                                               4. Spotkanie informacyjno-konsultacyjne dotyczące naborów w ramach działań "Inwestycje w obiekty pełniące funkcje kulturalne", "Kształtowanie przestrzeni publicznej" i "Ochrona zabytków”                                                                                                                                                                                                5. Spotkanie związane z podpisywaniem umów o przyznanie pomocy                                                                                                                                                               6. spotkanie związane z podpisywaniem umów z beneficjentami operacji typu „Ochrona zabytków i budownictwa tradycyjnego”, „Kształtowanie przestrzeni publicznej” w ramach PROW 2014-2020                                                                                                                                                                                          7. posiedzenia WGR ds. KSOW woj. opolskiego - dotyczą opiniowania i rekomendowania sprawozdań, informacji półrocznych, aktualizacji planów operacyjnych, w tym komunikacyjnych, propozycji operacji własnych i partnerów KSOW</t>
    </r>
  </si>
  <si>
    <r>
      <rPr>
        <b/>
        <sz val="10"/>
        <color theme="1"/>
        <rFont val="Calibri"/>
        <family val="2"/>
        <charset val="238"/>
        <scheme val="minor"/>
      </rPr>
      <t xml:space="preserve">Komentarz: </t>
    </r>
    <r>
      <rPr>
        <sz val="10"/>
        <color theme="1"/>
        <rFont val="Calibri"/>
        <family val="2"/>
        <charset val="238"/>
        <scheme val="minor"/>
      </rPr>
      <t xml:space="preserve">                                                                                                                                                                                                                                                                      </t>
    </r>
    <r>
      <rPr>
        <b/>
        <sz val="10"/>
        <color rgb="FFFF0000"/>
        <rFont val="Calibri"/>
        <family val="2"/>
        <charset val="238"/>
        <scheme val="minor"/>
      </rPr>
      <t>2018:</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Wydarzenia o zasięgu krajowym</t>
    </r>
    <r>
      <rPr>
        <sz val="10"/>
        <color theme="1"/>
        <rFont val="Calibri"/>
        <family val="2"/>
        <charset val="238"/>
        <scheme val="minor"/>
      </rPr>
      <t xml:space="preserve">:                                                                                                                                                                                                                                                                                                       1. Szkolenie dla JR KSOW, CDR i ODR – nabór projektów w 2018r. w ramach Konkursu nr 2/2018 - 2 osoby                                                                                                                         2. Szkolenie dot. oceny wniosków konkursu 3/2019 KSOW -  3 osoby                                                                                                                                                                                                                                                                                                                                                                                                                                                                                                                                                                                                                                                                           </t>
    </r>
    <r>
      <rPr>
        <b/>
        <sz val="10"/>
        <color theme="1"/>
        <rFont val="Calibri"/>
        <family val="2"/>
        <charset val="238"/>
        <scheme val="minor"/>
      </rPr>
      <t xml:space="preserve">Wydarzenia o zasięgu międzynarodowym:  </t>
    </r>
    <r>
      <rPr>
        <sz val="10"/>
        <color theme="1"/>
        <rFont val="Calibri"/>
        <family val="2"/>
        <charset val="238"/>
        <scheme val="minor"/>
      </rPr>
      <t xml:space="preserve">     </t>
    </r>
    <r>
      <rPr>
        <sz val="10"/>
        <color theme="1"/>
        <rFont val="Calibri"/>
        <family val="2"/>
        <charset val="238"/>
        <scheme val="minor"/>
      </rPr>
      <t xml:space="preserve">                                                                                                                                                                                                                                                                                                1. Targi Smaki Regionów w ramach Międzynarodowych Targów Polagra Food w Poznaniu - 30 000 osób                                                                                                                       2. Wyjazd na finał konkursu o Europejską Nagrodę Odnowy Wsi 2018 (Austria) - 20 osób                                                                                                                                                                          </t>
    </r>
    <r>
      <rPr>
        <b/>
        <sz val="10"/>
        <color theme="1"/>
        <rFont val="Calibri"/>
        <family val="2"/>
        <charset val="238"/>
        <scheme val="minor"/>
      </rPr>
      <t xml:space="preserve">Imprezy masowe: </t>
    </r>
    <r>
      <rPr>
        <sz val="10"/>
        <color theme="1"/>
        <rFont val="Calibri"/>
        <family val="2"/>
        <charset val="238"/>
        <scheme val="minor"/>
      </rPr>
      <t xml:space="preserve">                                                                                                                                                                                                                                                                                                                         1. Festiwal Twórczości Artystycznej "Opolskie Szmaragdy" - 2 000 osób                                                                                                                                                                                                                                                                           2. Dożynki Wojewódzkie 2018 w Paczkowie </t>
    </r>
    <r>
      <rPr>
        <i/>
        <sz val="10"/>
        <color theme="1"/>
        <rFont val="Calibri"/>
        <family val="2"/>
        <charset val="238"/>
        <scheme val="minor"/>
      </rPr>
      <t xml:space="preserve">(liczona dwa razy, gdyż operacja była realizowana w ramach PO i Planu komunikacyjnego) </t>
    </r>
    <r>
      <rPr>
        <sz val="10"/>
        <color theme="1"/>
        <rFont val="Calibri"/>
        <family val="2"/>
        <charset val="238"/>
        <scheme val="minor"/>
      </rPr>
      <t xml:space="preserve"> - 3 000 osób                                                                                                                                                                                                     3. Dożynki Prezydenckie w Spale - 4 000 osób                                                                                                                                                                                                                             4. Regionalna Wystawa Zwierząt Hodowlanych - Agrofestival     - 5 000 osób                                                                                                                                                         5. "Opolska Wioska Smaków i Tradycyji"     - 20 000 osób                                                                                                                                                                                                   6. "Dożynki Powiatowo-Gminne Złotniki gm. Prószków 2018"     - 2 000 osób                                                                                                                                                           7. Wystawa Rolnicza Opolagra 2018      - 46 000 osób                                                                                                                                                                                                        8. Dni Otwartych Funduszy Europejskich w Opolu    - 1 000 osób                                                                                                                                                           9. Wystawa - Jubileusz 30-lecia Zespołu Opolskich Parków Krajobrazowych                                                                                                                                                                                                                           </t>
    </r>
    <r>
      <rPr>
        <b/>
        <sz val="10"/>
        <color theme="1"/>
        <rFont val="Calibri"/>
        <family val="2"/>
        <charset val="238"/>
        <scheme val="minor"/>
      </rPr>
      <t/>
    </r>
  </si>
  <si>
    <r>
      <rPr>
        <b/>
        <sz val="10"/>
        <rFont val="Calibri"/>
        <family val="2"/>
        <charset val="238"/>
        <scheme val="minor"/>
      </rPr>
      <t xml:space="preserve">Komentarz:                                                                                                                                                                                                                                                                     Liczba publikacji 2018:     </t>
    </r>
    <r>
      <rPr>
        <sz val="10"/>
        <rFont val="Calibri"/>
        <family val="2"/>
        <charset val="238"/>
        <scheme val="minor"/>
      </rPr>
      <t xml:space="preserve">                                                                                                                                                                                                                                         1. artykuły w prasie - 3                                                                                                                                                                                                                                                2. ekspertyza – tradycyjne przydomowe ogrody Opolszczyzny - 1                                                                                                                                                                                                                                                            3. publikacja pokonkursowa "Moja gmina w obiektywie" - 1                                                                                                                                                                              5. publikacja "W przyjaźni z naturą – dbamy o nasze środowisko" - 1</t>
    </r>
  </si>
  <si>
    <t>Komentarz: nie dotyczy</t>
  </si>
  <si>
    <r>
      <rPr>
        <b/>
        <sz val="10"/>
        <color theme="1"/>
        <rFont val="Calibri"/>
        <family val="2"/>
        <charset val="238"/>
        <scheme val="minor"/>
      </rPr>
      <t xml:space="preserve">Komentarz:  </t>
    </r>
    <r>
      <rPr>
        <sz val="10"/>
        <color theme="1"/>
        <rFont val="Calibri"/>
        <family val="2"/>
        <charset val="238"/>
        <scheme val="minor"/>
      </rPr>
      <t xml:space="preserve">                                                                                                                                                                                                                                                                            </t>
    </r>
    <r>
      <rPr>
        <b/>
        <sz val="10"/>
        <color rgb="FFFF0000"/>
        <rFont val="Calibri"/>
        <family val="2"/>
        <charset val="238"/>
        <scheme val="minor"/>
      </rPr>
      <t>2018</t>
    </r>
    <r>
      <rPr>
        <sz val="10"/>
        <color theme="1"/>
        <rFont val="Calibri"/>
        <family val="2"/>
        <charset val="238"/>
        <scheme val="minor"/>
      </rPr>
      <t xml:space="preserve"> - dotyczy 1 grupy tematycznej - WGR ds. KSOW woj. opolskiego. W 2018r. odbyły się </t>
    </r>
    <r>
      <rPr>
        <b/>
        <sz val="10"/>
        <color theme="1"/>
        <rFont val="Calibri"/>
        <family val="2"/>
        <charset val="238"/>
        <scheme val="minor"/>
      </rPr>
      <t>2</t>
    </r>
    <r>
      <rPr>
        <sz val="10"/>
        <color theme="1"/>
        <rFont val="Calibri"/>
        <family val="2"/>
        <charset val="238"/>
        <scheme val="minor"/>
      </rPr>
      <t xml:space="preserve"> posiedzenia oraz grupa pracowała w trybie obiegowym </t>
    </r>
    <r>
      <rPr>
        <b/>
        <sz val="10"/>
        <color theme="1"/>
        <rFont val="Calibri"/>
        <family val="2"/>
        <charset val="238"/>
        <scheme val="minor"/>
      </rPr>
      <t>8</t>
    </r>
    <r>
      <rPr>
        <sz val="10"/>
        <color theme="1"/>
        <rFont val="Calibri"/>
        <family val="2"/>
        <charset val="238"/>
        <scheme val="minor"/>
      </rPr>
      <t xml:space="preserve"> razy.                                                                                                                                                                                                                                                                          Liczba inicjatyw tematycznych - </t>
    </r>
    <r>
      <rPr>
        <b/>
        <sz val="10"/>
        <color theme="1"/>
        <rFont val="Calibri"/>
        <family val="2"/>
        <charset val="238"/>
        <scheme val="minor"/>
      </rPr>
      <t xml:space="preserve">INNE </t>
    </r>
    <r>
      <rPr>
        <sz val="10"/>
        <color theme="1"/>
        <rFont val="Calibri"/>
        <family val="2"/>
        <charset val="238"/>
        <scheme val="minor"/>
      </rPr>
      <t>- zakres działań przypisany do WGR ds. KSOW.</t>
    </r>
  </si>
  <si>
    <r>
      <t xml:space="preserve">Komentarz:                                                                                                                                                                                                                                                                                                         </t>
    </r>
    <r>
      <rPr>
        <sz val="10"/>
        <color theme="1"/>
        <rFont val="Calibri"/>
        <family val="2"/>
        <charset val="238"/>
        <scheme val="minor"/>
      </rPr>
      <t xml:space="preserve">W 2018r. zorgaznizowano 1 spotkanie informacyjno-konsultacyjne  dla Partnerów KSOW w sprawie ogłoszonego Konkursu nr 8/2018 dla partnerów Krajowej Sieci Obszarów Wiejskich na wybór operacji, które były realizowane w 2018 r. w ramach dwuletniego planu operacyjnego na lata 2018–2019, spotkanie informacyjno-konsultacyjne z Partnerami KSOW połączone z podpisywaniem umów oraz 27 spotkań informacyjno-konsultacyjnych z różnymi organizacjami i partnerami, w tym z LGD w celu poprawy wdrażania PROW. </t>
    </r>
  </si>
  <si>
    <r>
      <t xml:space="preserve">Komentarz:                                                                                                                                                                                                                                                                            </t>
    </r>
    <r>
      <rPr>
        <sz val="10"/>
        <color theme="1"/>
        <rFont val="Calibri"/>
        <family val="2"/>
        <charset val="238"/>
        <scheme val="minor"/>
      </rPr>
      <t>nie dotyczy</t>
    </r>
  </si>
  <si>
    <r>
      <rPr>
        <b/>
        <sz val="10"/>
        <color indexed="8"/>
        <rFont val="Calibri"/>
        <family val="2"/>
        <charset val="238"/>
      </rPr>
      <t xml:space="preserve">Komentarz:  </t>
    </r>
    <r>
      <rPr>
        <sz val="10"/>
        <color indexed="8"/>
        <rFont val="Calibri"/>
        <family val="2"/>
        <charset val="238"/>
      </rPr>
      <t xml:space="preserve">         </t>
    </r>
    <r>
      <rPr>
        <b/>
        <sz val="10"/>
        <color indexed="8"/>
        <rFont val="Calibri"/>
        <family val="2"/>
        <charset val="238"/>
      </rPr>
      <t xml:space="preserve">                                                                                                                                                                                                                                                                                                 2018r. - </t>
    </r>
    <r>
      <rPr>
        <sz val="10"/>
        <color indexed="8"/>
        <rFont val="Calibri"/>
        <family val="2"/>
        <charset val="238"/>
      </rPr>
      <t xml:space="preserve"> liczba osób wchodzących w skład WGR ds. KSOW woj. opolskiego - 23 osoby, w posiedzeniach uczestniczyło 30 osób, a w trybie obiegowym głowowały łącznie 123 osoby.                                                                                                                                                                                                                                           W spotkaniach informacyjno-konsultacyjnych wymienionych w 4.2 uczestniczyło 327 osób</t>
    </r>
    <r>
      <rPr>
        <sz val="10"/>
        <rFont val="Calibri"/>
        <family val="2"/>
        <charset val="238"/>
      </rPr>
      <t>.</t>
    </r>
    <r>
      <rPr>
        <sz val="10"/>
        <color rgb="FFFF0000"/>
        <rFont val="Calibri"/>
        <family val="2"/>
        <charset val="238"/>
      </rPr>
      <t xml:space="preserve">   </t>
    </r>
  </si>
  <si>
    <r>
      <t xml:space="preserve">Komentarz:                                                                                                                                                                                                                                                                          Inne:                                                                                                                                                                                                                                                                                 </t>
    </r>
    <r>
      <rPr>
        <sz val="10"/>
        <color theme="1"/>
        <rFont val="Calibri"/>
        <family val="2"/>
        <charset val="238"/>
        <scheme val="minor"/>
      </rPr>
      <t xml:space="preserve">1. szkolenie z zakresu RODO                                                                                                                                                                                                                                        2. Szkolenie dla JR KSOW, CDR i ODR – nabór projektów w 2018r. w ramach Konkursu nr 2/2018                                                                                                     3. Szkolenie dot. oceny wniosków konkursu 3/2019 KSOW                                        </t>
    </r>
  </si>
  <si>
    <r>
      <t xml:space="preserve">Komentarz:                                                                                             </t>
    </r>
    <r>
      <rPr>
        <sz val="10"/>
        <color theme="1"/>
        <rFont val="Calibri"/>
        <family val="2"/>
        <charset val="238"/>
        <scheme val="minor"/>
      </rPr>
      <t xml:space="preserve">                                                                                                                                                         Uczestnikami byli pracownicy JR kSOW woj. opolskiego, pracownicy Urzędu Marszałkowskiego Województwa Opolskiego, przedstawiciele władz samorządowych gmin - laureatów konkursu "Piękna Wieś Opolska", młodzież szkolna zi rolnicy z Opolszczyzny, liderzy społeczności wiejskich, przedstawiciele organizacji rolniczych.</t>
    </r>
  </si>
  <si>
    <r>
      <rPr>
        <b/>
        <sz val="10"/>
        <color theme="1"/>
        <rFont val="Calibri"/>
        <family val="2"/>
        <charset val="238"/>
        <scheme val="minor"/>
      </rPr>
      <t xml:space="preserve">1. wydarzenia </t>
    </r>
    <r>
      <rPr>
        <sz val="10"/>
        <color theme="1"/>
        <rFont val="Calibri"/>
        <family val="2"/>
        <scheme val="minor"/>
      </rPr>
      <t xml:space="preserve">- ujęto koszty dotyczące wydarzeń realizowanych w ramach planu operacyjnego, w tym komunikacyjnego.                                                   </t>
    </r>
    <r>
      <rPr>
        <b/>
        <sz val="10"/>
        <color theme="1"/>
        <rFont val="Calibri"/>
        <family val="2"/>
        <charset val="238"/>
        <scheme val="minor"/>
      </rPr>
      <t xml:space="preserve">2. narzędzia komunikacji </t>
    </r>
    <r>
      <rPr>
        <sz val="10"/>
        <color theme="1"/>
        <rFont val="Calibri"/>
        <family val="2"/>
        <scheme val="minor"/>
      </rPr>
      <t xml:space="preserve">- ujęto koszty artykułów w prasie, ekspertyzy i dwóch publikacji                                </t>
    </r>
    <r>
      <rPr>
        <b/>
        <sz val="10"/>
        <color theme="1"/>
        <rFont val="Calibri"/>
        <family val="2"/>
        <charset val="238"/>
        <scheme val="minor"/>
      </rPr>
      <t>3. inne</t>
    </r>
    <r>
      <rPr>
        <sz val="10"/>
        <color theme="1"/>
        <rFont val="Calibri"/>
        <family val="2"/>
        <scheme val="minor"/>
      </rPr>
      <t xml:space="preserve"> - ujęto koszty filmu promocyjnego                                                        </t>
    </r>
    <r>
      <rPr>
        <b/>
        <sz val="10"/>
        <color theme="1"/>
        <rFont val="Calibri"/>
        <family val="2"/>
        <charset val="238"/>
        <scheme val="minor"/>
      </rPr>
      <t>4. koszty funkcjonowania</t>
    </r>
    <r>
      <rPr>
        <sz val="10"/>
        <color theme="1"/>
        <rFont val="Calibri"/>
        <family val="2"/>
        <scheme val="minor"/>
      </rPr>
      <t xml:space="preserve"> - obejmują wynagrodzenia pracowników JR KSOW, koszty zakupu wraz z dostawą energii elektrycznej i cieplnej do pomieszczeń zajmowanych przez pracowników,  delegacji służbowych i szkoleń pracowników JR KSOW, zakupów art. biurowych, wyposażenia, koszty napraw i konserwacji sprzętu biurowego.  </t>
    </r>
  </si>
  <si>
    <t>Jednostka wdrażająca: JR MAZOWIECKIE</t>
  </si>
  <si>
    <t xml:space="preserve">Komentarz: W 2018 roku odbyło się jedno stacjonarne i siedem obiegowych spotkań Wojewódzkiej Grupy Roboczej. WGR działa w zakresie obszaru tematycznego mieszanego. </t>
  </si>
  <si>
    <t xml:space="preserve">Komentarz: Duże imprezy masowe (liczba odwiedzających - wartość szacunkowa): Targi Agrotravel - Kielce - 20 tys. odwiedzających,  Targi Natura Food - Łódź -12 tys. odwiedzających, Targi Turystyczne Wypoczynek 2018 Toruński Festiwal Smaków - 5 tys. odwiedzających, Warszawskie Święto Chleba - 10 tys. odwiedzających, Mazowieckie Dni Rolnictwa - 70 tys. odwiedzających </t>
  </si>
  <si>
    <t xml:space="preserve"> Komentarz: Newsletter rozsyłany cyklicznie do parterów KSOW realizował mieszane zakresy tematyczne (9 newsletterów w 2018 roku)</t>
  </si>
  <si>
    <t>Jednostka wdrażająca: Wojewóztwo Podkarpackie</t>
  </si>
  <si>
    <t>Stan na: 31.12.2018 r.</t>
  </si>
  <si>
    <t>Komentarz: Dane dotyczą Wojewódzkiej Grupy Roboczej ds.. KSOW</t>
  </si>
  <si>
    <t>Komentarz: Informacje udzielane w Punkcie Informacyjnym</t>
  </si>
  <si>
    <t>Komentarz: Liczba członków WGR ds.. KSOW bioraca udział w posiedzeniu i w głosowaniach przeprowadzonych w trybie obiegeym</t>
  </si>
  <si>
    <t>Jednostka wdrażająca: Sekretariat Regionalny KSOW Województwa Podlaskiego</t>
  </si>
  <si>
    <r>
      <t xml:space="preserve">
</t>
    </r>
    <r>
      <rPr>
        <b/>
        <u/>
        <sz val="10"/>
        <color theme="1"/>
        <rFont val="Calibri"/>
        <family val="2"/>
        <charset val="238"/>
        <scheme val="minor"/>
      </rPr>
      <t>Operacje realizowane  w 2018 roku</t>
    </r>
    <r>
      <rPr>
        <b/>
        <sz val="10"/>
        <color theme="1"/>
        <rFont val="Calibri"/>
        <family val="2"/>
        <charset val="238"/>
        <scheme val="minor"/>
      </rPr>
      <t xml:space="preserve">
 w kategorii z naciskiem na "Transfer wiedzy i innowacje"( P1): 
</t>
    </r>
    <r>
      <rPr>
        <sz val="10"/>
        <rFont val="Calibri"/>
        <family val="2"/>
        <charset val="238"/>
        <scheme val="minor"/>
      </rPr>
      <t>1) Jarmark produktów tradycyjnych i lokalnych- Mońki (09.09.2018 r.), seminarium „Rozwój obszarów wiejskich – szanse i zagrożenia dla Powiatu Monieckiego – Mońki (19.10.2018 r.),
2) Festyn sportowo - rekreacyjny i piknik rolniczy „Powitanie Lata u Ossolińskich” i seminarium - Rudka (10.06. 2018),
3) Konferencja „145 lat pszczelarzy na Sejneńszczyźnie” w terminie (14 -15.10. 2018 r.) Sejny .</t>
    </r>
    <r>
      <rPr>
        <b/>
        <sz val="10"/>
        <color theme="1"/>
        <rFont val="Calibri"/>
        <family val="2"/>
        <charset val="238"/>
        <scheme val="minor"/>
      </rPr>
      <t xml:space="preserve">
 w kategorii z naciskiem na "Żywność i konkurencyjność gospodarstw "( P2): 
</t>
    </r>
    <r>
      <rPr>
        <sz val="10"/>
        <rFont val="Calibri"/>
        <family val="2"/>
        <charset val="238"/>
        <scheme val="minor"/>
      </rPr>
      <t>1)  Szkolenie „Krótkie łańcuchy dostaw a opłacalność produkcji ekologicznej” - Białystok (26.10.2018 r), 
2) „Pszczelarstwo- alternatywa dla małych gospodarstw”- seminarium i warsztaty (25 i 27.06.2018) Hajnówka, 
3) Warsztatach polowe dla uczniów i kadr szkół rolniczych w zakresie doboru odmian (19.06.2018 r. w Marianowie i 20.06.2018 r. Krzyżewie),
4) Współpraca na „zerowym kilometrze” – włoskie inspiracje w sektorze rolnym  -wyjazd (16-23.10.2018 r.) Włochy,                                                                                                                                                                                                                                                                                                                    5) "Na Kulinarnym Szlaku Wschodniej Polski" - 28-29.07.2018 r. Drohiczyn.</t>
    </r>
    <r>
      <rPr>
        <b/>
        <sz val="10"/>
        <color theme="1"/>
        <rFont val="Calibri"/>
        <family val="2"/>
        <charset val="238"/>
        <scheme val="minor"/>
      </rPr>
      <t xml:space="preserve">
w kategorii z naciskiem na "Organizację łańcucha żywnościowego  i zarządzanie ryzykiem" (P3): 
 </t>
    </r>
    <r>
      <rPr>
        <sz val="10"/>
        <rFont val="Calibri"/>
        <family val="2"/>
        <charset val="238"/>
        <scheme val="minor"/>
      </rPr>
      <t>1) „Kiermasz zdrowej żywności i rękodzieła „NATURA I MY”-(10.06.2018 r.) Supraśl,
 2)  Produkt lokalny a zasady funkcjonowania inkubatorów kuchennych - wizyta studyjna (10-13.09.2018r.),</t>
    </r>
    <r>
      <rPr>
        <b/>
        <sz val="10"/>
        <color rgb="FFFF0000"/>
        <rFont val="Calibri"/>
        <family val="2"/>
        <charset val="238"/>
        <scheme val="minor"/>
      </rPr>
      <t xml:space="preserve"> </t>
    </r>
    <r>
      <rPr>
        <b/>
        <sz val="10"/>
        <color theme="1"/>
        <rFont val="Calibri"/>
        <family val="2"/>
        <charset val="238"/>
        <scheme val="minor"/>
      </rPr>
      <t xml:space="preserve">                                                                                                                                                                                                                                                                                                                                     </t>
    </r>
    <r>
      <rPr>
        <sz val="10"/>
        <color theme="1"/>
        <rFont val="Calibri"/>
        <family val="2"/>
        <charset val="238"/>
        <scheme val="minor"/>
      </rPr>
      <t xml:space="preserve">3) Spotkanie grupy tematycznej do spraw żywności (28.03.2018 r. ) Białystok. </t>
    </r>
    <r>
      <rPr>
        <b/>
        <sz val="10"/>
        <color theme="1"/>
        <rFont val="Calibri"/>
        <family val="2"/>
        <charset val="238"/>
        <scheme val="minor"/>
      </rPr>
      <t xml:space="preserve">
w kategorii z naciskiem na "Efektywne gospodarowanie zasobami i gospodarkę odporną na zmiany klimatu"( P5):
</t>
    </r>
    <r>
      <rPr>
        <sz val="10"/>
        <rFont val="Calibri"/>
        <family val="2"/>
        <charset val="238"/>
        <scheme val="minor"/>
      </rPr>
      <t>1) "W poszukiwaniu innowacyjnych rozwiązań odnawialnych źródeł energii" -wyjazd  (16-20.07.2018 r.) Niemcy,
2) „Smog- nie tylko w mieście”- konferencja ( 19.09.2018r.) Białystok,
3) „Konferencja Agroturystyczna” (28.09.2018 r. Ziołowy Zakątek, Koryciny).</t>
    </r>
    <r>
      <rPr>
        <b/>
        <sz val="10"/>
        <color theme="1"/>
        <rFont val="Calibri"/>
        <family val="2"/>
        <charset val="238"/>
        <scheme val="minor"/>
      </rPr>
      <t xml:space="preserve">
w kategorii z naciskiem na "Włączenie społeczne i rozwój gospodarczy"(P6):
</t>
    </r>
    <r>
      <rPr>
        <sz val="10"/>
        <rFont val="Calibri"/>
        <family val="2"/>
        <charset val="238"/>
        <scheme val="minor"/>
      </rPr>
      <t>1) Szkolenie strategiczne : "Digital marketing i media społecznościowe" (5-6.09.2018r.) Wólka Nadbużna, 
2) Forum Lokalnych Grup Działania –konferencja (13-14.09.2018 r.) Zabuże gm. Sarnaki, 
3) Wyjazd studyjny - dzienne ośrodki wsparcia dla dzieci, młodzieży i seniorów  (20-23.06.2018r.) województwo warmińsko-mazurskie, 
4) Produkt lokalny w gminie Łapy (26.08.2018 r.), Płonka Kościelna, 
5) Organizacja Święta Gminy Zambrów-  (11-12.08.2018 r.) Zambrów, 
6) Wymiana doświadczeń i nawiązanie współpracy z LGD województwa lubelskiego - wyjazd studyjny (03.10.2018 r.-05.10.2018 r.), 
7) Aktywna Wieś- warsztaty dla dzieci i młodzież w wieku szkolnym mieszkające na terenie Gminy Grajewo ( lipiec-sierpień 2018r.),cykl 5-dniowych spotkań w 14 świetlicach,
8) Dzień Konia na Podlasiu XV edycja (17.06.2018 r.) Niewodnica Kościelna, 
9) Biesiada żniwiarzy – tradycje gminy Kołaki Kościelne (15.08.2018 r.), Kołaki Kościelne, 
10) "Brama na Podlasie- Brama do lokalnych tradycji - wyjazd studyjny" ( 07-09.08.2018 r.) woj. mazowieckie i kujawsko-pomorskie,
11) Od pomysłu do zmiany. Konferencja Sieciująca LGD: Promocja i Współpraca Regionalna i Międzyterytorialna (18-19.10.2018 r.), Supraśl,
12) Forum Podlaskiej Sieci Lokalnych Grup Działania” ( 22-23 marca 2018 r.) Supraśl, 
13) Warsztaty „Popularyzacja przetwórstwa mleka na Podlasiu, jako dodatkowego źródła dochodu” (28.06.2018 r. Klukowo) i (05.10.2018 r. Mielnik),
14) „Olimpiada Aktywności Wiejskiej” - IV edycji, (17.08.2018 r. -Sejny),  (20.08.2018 r. -Siemiatycze),   (22.08.2018 r. -Łady Polne),   (23.08.2018 –Białystok),
15) Warsztaty kosmetyczne „Kosmetyki prosto z gospodarstwa” 3 edycje (20.09.2018 r.- Łady Polne), (01.10.2018 r.- Dobry Las), (12.10.2018 r.-BOK Białystok).</t>
    </r>
    <r>
      <rPr>
        <sz val="10"/>
        <color theme="1"/>
        <rFont val="Calibri"/>
        <family val="2"/>
        <charset val="238"/>
        <scheme val="minor"/>
      </rPr>
      <t xml:space="preserve">
</t>
    </r>
    <r>
      <rPr>
        <b/>
        <u/>
        <sz val="10"/>
        <color theme="1"/>
        <rFont val="Calibri"/>
        <family val="2"/>
        <charset val="238"/>
        <scheme val="minor"/>
      </rPr>
      <t>INNE / MIESZANE</t>
    </r>
    <r>
      <rPr>
        <sz val="10"/>
        <color theme="1"/>
        <rFont val="Calibri"/>
        <family val="2"/>
        <charset val="238"/>
        <scheme val="minor"/>
      </rPr>
      <t xml:space="preserve">
</t>
    </r>
    <r>
      <rPr>
        <sz val="10"/>
        <rFont val="Calibri"/>
        <family val="2"/>
        <charset val="238"/>
        <scheme val="minor"/>
      </rPr>
      <t>1. Cykl szkoleń informacyjnych dla potencjalnych beneficjentów i beneficjentów PROW 2014-2020 –   17.01.2018 Suwałki,  18.01.2018 Białystok, 19.01.2018 – Łomża,  
2.Omówienie zobowiązań Partnerów KSOW wynikających z umowy na realizację operacji 10.05.2018- Białystok,
3. Spotkanie informacyjne dla przedstawicieli LGD  18.06.2018  Białystok,                                                                                                                                                                                                                                                                                                                                                                                                           4. Udział stoiska info-prom. podczas Wystawy Zwierząt Hodowlanych w Szepietowie 23-24.06.2018,
5. Udział stoiska info-prom. podczas Dożynek Wojewódzkich – 26.08.2018- Wigry,
6. Udział stoiska info-prom. podczas Targów Ogrodniczych „Jesień w sadzie i ogrodzie” 7.10. 2018 r. Szepietowo,                                                                                                                                                                                                                                                                                                                                                                                   7.Spotkania wojewódzkiej grupy roboczej ds. KSOW ( w trybie obiegowym),  
8. Spotkanie koordynacyjne podmiotów wdrażających PROW z PIFE 12.12.2018 Białystok.</t>
    </r>
    <r>
      <rPr>
        <sz val="10"/>
        <color theme="1"/>
        <rFont val="Calibri"/>
        <family val="2"/>
        <charset val="238"/>
        <scheme val="minor"/>
      </rPr>
      <t xml:space="preserve">
</t>
    </r>
  </si>
  <si>
    <r>
      <rPr>
        <b/>
        <u/>
        <sz val="10"/>
        <color theme="1"/>
        <rFont val="Calibri"/>
        <family val="2"/>
        <charset val="238"/>
        <scheme val="minor"/>
      </rPr>
      <t>Operacje realizowane  w 2018 roku</t>
    </r>
    <r>
      <rPr>
        <sz val="10"/>
        <color theme="1"/>
        <rFont val="Calibri"/>
        <family val="2"/>
        <charset val="238"/>
        <scheme val="minor"/>
      </rPr>
      <t xml:space="preserve">
1) Jarmark produktów tradycyjnych i lokalnych- Mońki (09.09.2018 r.), 1 000 odwiedzających, 40 lokalnych producentów, wytwórców produktów tradycyjnych i lokalnych, firmy i instytucje z branży rolnicze, seminarium „Rozwój obszarów wiejskich – szanse i zagrożenia dla Powiatu Monieckiego – Mońki (19.10.2018 r.), 50 uczestników - Zasięg lokalny/regionalny,
2) Festyn sportowo - rekreacyjny i piknik rolniczy „Powitanie Lata u Ossolińskich” i seminarium - Rudka (10.06. 2018), 40 stoisk wystawienniczych i około 10 stanowisk do pokazów sprzętu, zwierząt hodowlanych, 1 000 odwiedzających, 100 uczestników seminarium - Zasięg lokalny/regionalny,
3) Konferencja „145 lat pszczelarzy na Sejneńszczyźnie” w terminie 14 października 2018 r. Sejny – 156 uczestników,  15 października 2018 r. Sejny - 80 uczestników - Zasięg lokalny/regionalny.
4) Szkolenie dot. prowadzenia gospodarstw ekologicznych - Białystok (26.10.2018 r.) - 34 uczestników - Zasięg lokalny/regionalny,
5) „Pszczelarstwo- alternatywa dla małych gospodarstw”- seminarium i warsztaty (25 i 27.06.2018) Hajnówka, 20 uczestników - Zasięg lokalny/regionalny,
6) Warsztatach polowe dla uczniów i kadr szkół rolniczych w zakresie doboru odmian (19.06.2018 w Marianowie – 100 uczestników i 20.06.2018 r. w Krzyżewie- 153 uczestników) - Zasięg lokalny/regionalny,
7) Współpraca na „zerowym kilometrze” – włoskie inspiracje w sektorze rolnym  -wyjazd (16-23.10.2018 r. Włochy 2 uczestinków - Zasięg lokalny-regionalny,                                                                                                                                                                                                                                                           8) " Na kulinarnym Szlaku Wschodniej Polski"- 28-29.07.2018r.- ( kilkadziesiąt wystawców- według danych  ze strony organizatora) około  3 000 odwiedzających-Zasięg krajowy,
9) „Kiermasz zdrowej żywności i rękodzieła „NATURA I MY”-(10.06.2018 r.) Supraśl, 1 000 odwiedzających, 20 lokalnych producentów /wystawców zdrowej i ekologicznej żywności - Zasięg lokalny/regionalny,
10)  Produkt lokalny a zasady funkcjonowania inkubatorów kuchennych - wizyta studyjna (10-13.09.2018r.)  20 uczestników -  Zasięg lokalny/regionalny,
11) "W poszukiwaniu innowacyjnych rozwiązań odnawialnych źródeł energii" -wyjazd  (16-20.07.2018 r.) Niemcy, 30 osób, Zasięg lokalny/regionalny,
12) „Smog- nie tylko w mieście”- konferencja ( 19.09.2018r.) Białystok, 100  uczestników – Zasięg lokalny/regionalny,
13) „Konferencja Agroturystyczna” (28.09.2018 r. Ziołowy Zakątek, Koryciny), 50 uczestników - Zasięg lokalny/regionalny
14) Szkolenie strategiczne : "Digital marketing i media społecznościowe" (5-6.09.2018r.) Wólka Nadbużna, 30 uczestników - Zasięg lokalny/regionalny,
15) Forum Lokalnych Grup Działania –konferencja (13-14.09.2018 r.) Zabuże gm. Sarnaki, 48 uczestników - Zasięg lokalny/regionalny,
16) Wyjazd studyjny - dzienne ośrodki wsparcia dla dzieci, młodzieży i seniorów  (20-23.06.2018r.) województwo warmińsko-mazurskie, 18 uczestników - Zasięg lokalny/regionalny,
17) Produkt lokalny w gminie Łapy (26.08.2018 r.), Płonka Kościelna, 300 osób odwiedzających targi, utworzono  8 stoisk promujących polską wieś, w organizowanych targach wzięło udział 10 wystawców z produktem lokalnym - Zasięg lokalny/regionalny,
18) Organizacja Święta Gminy Zambrów-  (11-12.08.2018 r.) Zambrów, 1 000 odwiedzających - Zasięg lokalny/regionalny,
19) Wymiana doświadczeń i nawiązanie współpracy z LGD województwa lubelskiego - wyjazd studyjny (03.10.2018 r.-05.10.2018 r.), 33 uczestników - Zasięg lokalny/regionalny,
20) Aktywna Wieś- warsztaty dla dzieci i młodzież w wieku szkolnym mieszkających na terenie Gminy Grajewo ( lipiec-sierpień 2018r.), 217 uczestników - Zasięg lokalny/regionalny,
21) Dzień Konia na Podlasiu XV edycja (17.06.2018 r.) Niewodnica Kościelna, około 900 uczestników  - Zasięg lokalny/regionalny,
22) Biesiada żniwiarzy – tradycje gminy Kołaki Kościelne (15.08.2018 r.), Kołaki Kościelne, 280 uczestników- Zasięg lokalny/regionalny,
23) "Brama na Podlasie- Brama do lokalnych tradycji - wyjazd studyjny" ( 07-09.08.2018 r.) woj. mazowieckie i kujawsko-pomorskie, 30 uczestników - Zasięg lokalny/regionalny,
24) Od pomysłu do zmiany. Konferencja Sieciująca LGD: Promocja i Współpraca Regionalna i Międzyterytorialna (18-19.10.2018 r.), Supraśl, 52 uczestników - Zasięg lokalny/regionalny,
25) Forum Podlaskiej Sieci Lokalnych Grup Działania” ( 22-23 marca 2018 r.) Supraśl, 104 uczestników - Zasięg lokalny/regionalny,
26) Warsztaty „Popularyzacja przetwórstwa mleka na Podlasiu, jako dodatkowego źródła dochodu” (28.06.2018 r. Klukowo- 26 uczestników i 05.10.2018 r. Mielnik- 23 uczestników ) - Zasięg lokalny/regionalny,
27) „Olimpiada Aktywności Wiejskiej” - IV edycji, (17.08.2018 – Sejny- 13 osób),  (20.08.2018 –Siemiatycze 14 osób), (22.08.2018 Łady Polne -23 osoby), (23.08.2018 –Białystok 9 osób) - Zasięg lokalny/regionalny,
28) Warsztaty kosmetyczne „Kosmetyki prosto z gospodarstwa” 3 edycje (20.09.2018- Łady Polne -22 uczestników), (01.10.2018- Dobry Las - 21 uczestników), (12.10.2018-BOK Białystok -26 uczestników) - Zasięg lokalny/r
29) Cykl szkoleń informacyjnych dla potencjalnych beneficjentów i beneficjentów PROW–   17.01.2018 Suwałki - 22 uczestników,  18.01.2018 Białystok – 51 uczestników, 19.01.2018 –Łomża -23 uczestników- Zasięg lokalny/regionalny,
30) Omówienie zobowiązań Partnerów KSOW wynikających z umowy na realizację operacji- 10.05.2018- Białystok 30 uczestników- Zasięg lokalny/regionalny,
31) Spotkanie informacyjne dla przedstawicieli LGD  18.06.2018  Białystok – 34 uczestników- Zasięg lokalny/regionalny,
32) Udział stoiska info-prom. podczas  Dożynek Wojewódzkich – 26.08.2018- Wigry- Zasięg lokalny/regionalny,
33) Udział stoiska info-prom. podczas Targów Ogrodniczych „Jesień w sadzie i ogrodzie” 7 październik 2018 r. Szepietowo- Zasięg lokalny/regionalny,  
34)Spotkanie koordynacyjne podmiotów wdrażających PROW z PIFE 12.12.2018 Białystok 13 osób-Zasięg lokalny/regionalny,                                                                                                                                                                                                                                                                                              35) Spotkania wojewódzkiej grupy roboczej ds.(w trybieobiegowym - 5 spotkań- Zasięg lokalny/regionalny,                                                                                                                                                                                                                                                                                                                                                36) Spotkanie grupy tematycznej ds. jakości żywności -28.03.2018 r. Białystok -17 uczestników- Zasięg lokalny/regionalny,                                                                                                                                                                                                                                                                                                    37) Udział stoiska inf-prom. podczas Wystawy Zwierząt Hodowlanych w Szepietowie 23-24.06.2018 - (100 tys. osób odwiedzających-według danych  ze strony organizatora) -Zasięg lokalny/regionalny.</t>
    </r>
  </si>
  <si>
    <r>
      <t xml:space="preserve"> </t>
    </r>
    <r>
      <rPr>
        <b/>
        <u/>
        <sz val="10"/>
        <rFont val="Calibri"/>
        <family val="2"/>
        <charset val="238"/>
        <scheme val="minor"/>
      </rPr>
      <t>Publikacje realizowane  w 2018 roku</t>
    </r>
    <r>
      <rPr>
        <sz val="10"/>
        <rFont val="Calibri"/>
        <family val="2"/>
        <charset val="238"/>
        <scheme val="minor"/>
      </rPr>
      <t xml:space="preserve">
</t>
    </r>
    <r>
      <rPr>
        <b/>
        <sz val="10"/>
        <rFont val="Calibri"/>
        <family val="2"/>
        <charset val="238"/>
        <scheme val="minor"/>
      </rPr>
      <t>w kategorii z naciskiem na "Transfer wiedzy i innowacji "( P1):</t>
    </r>
    <r>
      <rPr>
        <sz val="10"/>
        <rFont val="Calibri"/>
        <family val="2"/>
        <charset val="238"/>
        <scheme val="minor"/>
      </rPr>
      <t xml:space="preserve">
1) Wydania poradnika Zasady procesu produkcyjnego i higieny w zatwierdzonej urzędowo serowarni farmerskiej i rzemieślniczej – 5 000 egzemplarzy,
2) Opracowanie raportu „Bariery związane z produkcją żywności ekologicznej w województwie podlaskim”
</t>
    </r>
    <r>
      <rPr>
        <b/>
        <sz val="10"/>
        <rFont val="Calibri"/>
        <family val="2"/>
        <charset val="238"/>
        <scheme val="minor"/>
      </rPr>
      <t xml:space="preserve"> w kategorii z naciskiem na "Żywność i konkurencyjność gospodarstw "( P2): </t>
    </r>
    <r>
      <rPr>
        <sz val="10"/>
        <rFont val="Calibri"/>
        <family val="2"/>
        <charset val="238"/>
        <scheme val="minor"/>
      </rPr>
      <t xml:space="preserve">
1) Opracowanie ekspertyzy  "Analiza opłacalności produkcji i dystrybucji produktów ekologicznych w województwie podlaskim z wykorzystaniem wybranych modeli krótkich łańcuchów dostaw"  Uniwersytet  w Białymstoku,
</t>
    </r>
    <r>
      <rPr>
        <b/>
        <sz val="10"/>
        <rFont val="Calibri"/>
        <family val="2"/>
        <charset val="238"/>
        <scheme val="minor"/>
      </rPr>
      <t>w kategorii z naciskiem na "Włączenie społeczne i rozwój gospodarczy"(P6):</t>
    </r>
    <r>
      <rPr>
        <sz val="10"/>
        <rFont val="Calibri"/>
        <family val="2"/>
        <charset val="238"/>
        <scheme val="minor"/>
      </rPr>
      <t xml:space="preserve">
1) „Sery Korycińskie – jak je ugryźć ? II edycja- druk książki (nakład 2 500 egzemplarzy), 
2)  "Brama na Podlasie- Brama do lokalnych tradycji – wydruk folderu dotyczącego produktów lokalnych- 1 500 egzemplarzy,
</t>
    </r>
  </si>
  <si>
    <r>
      <rPr>
        <b/>
        <sz val="10"/>
        <color theme="1"/>
        <rFont val="Calibri"/>
        <family val="2"/>
        <charset val="238"/>
        <scheme val="minor"/>
      </rPr>
      <t xml:space="preserve">Operacje realizowane  w 2018 roku </t>
    </r>
    <r>
      <rPr>
        <sz val="10"/>
        <color theme="1"/>
        <rFont val="Calibri"/>
        <family val="2"/>
        <charset val="238"/>
        <scheme val="minor"/>
      </rPr>
      <t xml:space="preserve">
</t>
    </r>
    <r>
      <rPr>
        <b/>
        <u/>
        <sz val="10"/>
        <color theme="1"/>
        <rFont val="Calibri"/>
        <family val="2"/>
        <charset val="238"/>
        <scheme val="minor"/>
      </rPr>
      <t xml:space="preserve">w kategorii z naciskiem na "Transfer wiedzy i innowacje"( P1): </t>
    </r>
    <r>
      <rPr>
        <sz val="10"/>
        <color theme="1"/>
        <rFont val="Calibri"/>
        <family val="2"/>
        <charset val="238"/>
        <scheme val="minor"/>
      </rPr>
      <t xml:space="preserve">
1) "PODLASKIE INNOWACJE ROLNICZE W OBIEKTYWIE KAMERY" - wyprodukowano  i wyemitowano 12 filmów  dotyczących rozwoju przedsiębiorczości na obszarach wiejskich, ukazujących pozytywne przykłady  tego typu inicjatyw wśród ogółu społeczeństwa. Filmy zostały wyemitowane w telewizji regionalnej wraz z ich powtórkami, 9 tygodni emisji – 28 000 osób obejrzało , 48 publikacji w internecie  na 5 stronach internetowych , 8 000 odwiedzin.
</t>
    </r>
    <r>
      <rPr>
        <b/>
        <u/>
        <sz val="10"/>
        <color theme="1"/>
        <rFont val="Calibri"/>
        <family val="2"/>
        <charset val="238"/>
        <scheme val="minor"/>
      </rPr>
      <t>w kategorii z naciskiem na "Włączenie społeczne i rozwój gospodarczy"(P6):</t>
    </r>
    <r>
      <rPr>
        <sz val="10"/>
        <color theme="1"/>
        <rFont val="Calibri"/>
        <family val="2"/>
        <charset val="238"/>
        <scheme val="minor"/>
      </rPr>
      <t xml:space="preserve">
1) Realizacja i emisje 8 filmów i 1 reportażu o charakterze informacyjno-promocyjnym na temat operacji zrealizowanych  w ramach PROW 2014-2020,                                                                                                                                                                                                                                                                                                                2) Opracowanie koncepcji oraz organizacja konkursu promującego operacje zrealizowane ze środków PROW 2014-2020 w ramach działań wdrażanych przez Samorząd Województwa Podlaskiego.
</t>
    </r>
  </si>
  <si>
    <t xml:space="preserve">1) Spotkania wojewódzkiej grupy roboczej ds. KSOW (w tym również w trybie obiegowym).
2) Powołanie grupy tematycznej do spraw jakości żywności ( GT JŻ).
</t>
  </si>
  <si>
    <t>NIE DOTYCZY</t>
  </si>
  <si>
    <t>nie dotyczy</t>
  </si>
  <si>
    <r>
      <rPr>
        <b/>
        <u/>
        <sz val="10"/>
        <color theme="1"/>
        <rFont val="Calibri"/>
        <family val="2"/>
        <charset val="238"/>
        <scheme val="minor"/>
      </rPr>
      <t>Operacje realizowane  w 2018 roku</t>
    </r>
    <r>
      <rPr>
        <sz val="10"/>
        <color theme="1"/>
        <rFont val="Calibri"/>
        <family val="2"/>
        <scheme val="minor"/>
      </rPr>
      <t xml:space="preserve">
 </t>
    </r>
    <r>
      <rPr>
        <b/>
        <sz val="10"/>
        <color theme="1"/>
        <rFont val="Calibri"/>
        <family val="2"/>
        <charset val="238"/>
        <scheme val="minor"/>
      </rPr>
      <t xml:space="preserve">w kategorii z naciskiem na "Transfer wiedzy i innowacje"( P1): </t>
    </r>
    <r>
      <rPr>
        <sz val="10"/>
        <color theme="1"/>
        <rFont val="Calibri"/>
        <family val="2"/>
        <scheme val="minor"/>
      </rPr>
      <t xml:space="preserve">
1) Seminarium „Rozwój obszarów wiejskich – szanse i zagrożenia dla Powiatu Monieckiego – Mońki (19.10.2018 r.),
2) Seminarium ( Wykład dotyczący „Optymalizacja żywienia i warunków utrzymania krów mlecznych”, „ Ekonomiczne aspekty rozwoju gospodarstw rolnych w kontekście wsparcia finansowego ze środków krajowych i Unii Europejskiej” - Rudka (10.06. 2018),
3) Konferencja „145 lat pszczelarzy na Sejneńszczyźnie” w terminie 14- 15 października 2018 r. Sejny,
 </t>
    </r>
    <r>
      <rPr>
        <b/>
        <sz val="10"/>
        <color theme="1"/>
        <rFont val="Calibri"/>
        <family val="2"/>
        <charset val="238"/>
        <scheme val="minor"/>
      </rPr>
      <t xml:space="preserve">w kategorii z naciskiem na "Żywność i konkurencyjność gospodarstw "( P2): </t>
    </r>
    <r>
      <rPr>
        <sz val="10"/>
        <color theme="1"/>
        <rFont val="Calibri"/>
        <family val="2"/>
        <scheme val="minor"/>
      </rPr>
      <t xml:space="preserve">
1) Szkolenie „Krótkie łańcuchy dostaw a opłacalność produkcji ekologicznej” (26.10.2018 r), Wydział Ekonomii i Zarządzania Uniwersytetu w Białymstoku,
2) „Pszczelarstwo- alternatywa dla małych gospodarstw”- seminarium i warsztaty (25 i 27.06.2018) Hajnówka,
3) Warsztatach polowe dla uczniów i kadr szkół rolniczych w zakresie doboru odmian 19.06.2018 w Marianowie i 20.06.2018 r. w Krzyżewie,
4) Współpraca na „zerowym kilometrze” – włoskie inspiracje w sektorze rolnym  -wyjazd (16-23.10.2018 r.) Włochy.
</t>
    </r>
    <r>
      <rPr>
        <b/>
        <sz val="10"/>
        <color theme="1"/>
        <rFont val="Calibri"/>
        <family val="2"/>
        <charset val="238"/>
        <scheme val="minor"/>
      </rPr>
      <t xml:space="preserve">w kategorii z naciskiem na "Organizację łańcucha żywnościowego  i zarządzanie ryzykiem" (P3): </t>
    </r>
    <r>
      <rPr>
        <sz val="10"/>
        <color theme="1"/>
        <rFont val="Calibri"/>
        <family val="2"/>
        <scheme val="minor"/>
      </rPr>
      <t xml:space="preserve">
 1)  Produkt lokalny a zasady funkcjonowania inkubatorów kuchennych - wizyta studyjna (10-13.09.2018r.).        
</t>
    </r>
    <r>
      <rPr>
        <b/>
        <sz val="10"/>
        <color theme="1"/>
        <rFont val="Calibri"/>
        <family val="2"/>
        <charset val="238"/>
        <scheme val="minor"/>
      </rPr>
      <t>w kategorii z naciskiem na "Efektywne gospodarowanie zasobami i gospodarkę odporną na zmiany klimatu"( P5):</t>
    </r>
    <r>
      <rPr>
        <sz val="10"/>
        <color theme="1"/>
        <rFont val="Calibri"/>
        <family val="2"/>
        <scheme val="minor"/>
      </rPr>
      <t xml:space="preserve">
1) "W poszukiwaniu innowacyjnych rozwiązań odnawialnych źródeł energii" -wyjazd  (16-20.07.2018 r.) Niemcy,
2) „Smog- nie tylko w mieście”- konferencja ( 19.09.2018r.) Białystok,
3) „Konferencja Agroturystyczna” (28.09.2018 r. Ziołowy Zakątek, Koryciny.
</t>
    </r>
    <r>
      <rPr>
        <b/>
        <sz val="10"/>
        <color theme="1"/>
        <rFont val="Calibri"/>
        <family val="2"/>
        <charset val="238"/>
        <scheme val="minor"/>
      </rPr>
      <t>w kategorii z naciskiem na "Włączenie społeczne i rozwój gospodarczy"(P6)":</t>
    </r>
    <r>
      <rPr>
        <sz val="10"/>
        <color theme="1"/>
        <rFont val="Calibri"/>
        <family val="2"/>
        <scheme val="minor"/>
      </rPr>
      <t xml:space="preserve">
1) Szkolenie strategiczne : "Digital marketing i media społecznościowe" (5-6.09.2018r.) Wólka Nadbużna,
2) Forum Lokalnych Grup Działania –konferencja (13-14.09.2018 r.) Zabuże gm. Sarnaki, 
3) Wyjazd studyjny - dzienne ośrodki wsparcia dla dzieci, młodzieży i seniorów  (20-23.06.2018r.) województwo warmińsko-mazurskie, 
4) Wymiana doświadczeń i nawiązanie współpracy z LGD województwa lubelskiego - wyjazd studyjny (03.10.2018 r.-05.10.2018 r.,
5) Aktywna Wieś- warsztaty dla dzieci i młodzież w wieku szkolnym mieszkających na terenie Gminy Grajewo ( lipiec-sierpień 2018r.),
6) "Brama na Podlasie- Brama do lokalnych tradycji - wyjazd studyjny" ( 07-09.08.2018 r.) woj. mazowieckie i kujawsko-pomorskie,  
7) Od pomysłu do zmiany. Konferencja Sieciująca LGD: Promocja i Współpraca Regionalna i Międzyterytorialna (18-19.10.2018 r.), Supraśl,
8) Forum Podlaskiej Sieci Lokalnych Grup Działania” ( 22-23 marca 2018 r.) Supraśl,  
9) Warsztaty „Popularyzacja przetwórstwa mleka na Podlasiu, jako dodatkowego źródła dochodu” 28.06.2018 r. Klukowo i 05.10.2018 r. Mielnik,
10) „Olimpiada Aktywności Wiejskiej” - IV edycja, 17.08.2018  Sejny,  20.08.2018 Siemiatycze,   22.08.2018 Łady Polne,   23.08.2018 –Białystok,
11) Warsztaty kosmetyczne „Kosmetyki prosto z gospodarstwa” 3 edycje : 20.09.2018 Łady Polne, 01.10.2018  Dobry Las, 12.10.2018 BOK Białystok.
INNE/MIESZANE
1. Szkolenie dla Partnerów KSOW dotyczące zasad wypełniania wniosku o wybór operacji –   17.01.2018 Suwałki,  18.01.2018 Białystok, 19.01.2018 –Łomża,  
2. Spotkanie informacyjne dla przedstawicieli LGD  18.06.2018  Białystok,                                                                                                                                                                                                                                                                                                                                                                                                           3. Omówienie zobowiązań Partnerów KSOW wynikających z umowy na realizację operacji 10.05.2018 r. - Białystok
4.Spotkanie koordynacyjne podmiotów wdrażających PROW z PIFE 12.12.2018 Białystok .  </t>
    </r>
  </si>
  <si>
    <r>
      <rPr>
        <b/>
        <u/>
        <sz val="10"/>
        <color theme="1"/>
        <rFont val="Calibri"/>
        <family val="2"/>
        <charset val="238"/>
        <scheme val="minor"/>
      </rPr>
      <t>Operacje realizowane  w 2018 roku</t>
    </r>
    <r>
      <rPr>
        <sz val="10"/>
        <color theme="1"/>
        <rFont val="Calibri"/>
        <family val="2"/>
        <scheme val="minor"/>
      </rPr>
      <t xml:space="preserve">
1) Seminarium „Rozwój obszarów wiejskich – szanse i zagrożenia dla Powiatu Monieckiego – Mońki (19.10.2018 r.), - 50 uczestników w tym 5 przedstawicieli LGD i 5 doradców rolniczych,
2) Seminarium ( Wykład dotyczący „Optymalizacja żywienia i warunków utrzymania krów mlecznych”, „ Ekonomiczne aspekty rozwoju gospodarstw rolnych w kontekście wsparcia finansowego ze środków krajowych i Unii Europejskiej” - Rudka (10.06. 2018) -100 uczestników,
3) Konferencja „145 lat pszczelarzy na Sejneńszczyźnie” w terminie 14 października 2018 r. Sejny – 156 uczestników,  15 października 2018 r. Sejny - 80 uczestników,
4) Szkolenie „Krótkie łańcuchy dostaw a opłacalność produkcji ekologicznej” (26.10.2018 r), Wydział Ekonomii i Zarządzania Uniwersytetu w Białymstoku - 34 uczestników w tym 27 rolników i 1 doradca rolniczy,
5) „Pszczelarstwo- alternatywa dla małych gospodarstw”- seminarium i warsztaty (25 i 27.06.2018) Hajnówka, 20 uczestników w tym doradców  2 rolniczych,
6) Warsztatach polowe dla uczniów i kadr szkół rolniczych w zakresie doboru odmian 19.06.2018 w Marianowie – 100 uczestników i 20.06.2018 r. w Krzyżewie- 153 uczestników,
7) Współpraca na „zerowym kilometrze” – włoskie inspiracje w sektorze rolnym  -wyjazd (16-23.10.2018 r.) Włochy, 2 uczestników
8)  Produkt lokalny a zasady funkcjonowania inkubatorów kuchennych - wizyta studyjna (10-13.09.2018r.) -20 uczestników w tym 3 przedstawicieli LGD i 2 doradców rolniczych,        
9) "W poszukiwaniu innowacyjnych rozwiązań odnawialnych źródeł energii" -wyjazd  (16-20.07.2018 r.) Niemcy, 30 osób, 
10) „Smog- nie tylko w mieście”- konferencja ( 19.09.2018r.) Białystok, 100  uczestników w tym 6 doradców,
11) „Konferencja Agroturystyczna” (28.09.2018 r. Ziołowy Zakątek, Koryciny – 50 uczestników),
12) Szkolenie strategiczne : "Digital marketing i media społecznościowe" (5-6.09.2018r.) Wólka Nadbużna, 30 uczestników w tym 30 przedstawicieli  LGD,
13) Forum Lokalnych Grup Działania –konferencja (13-14.09.2018 r.) Zabuże gm. Sarnaki, 48 uczestników w tym 35 przedstawicieli LGD, 
14) Wyjazd studyjny - dzienne ośrodki wsparcia dla dzieci, młodzieży i seniorów  (20-23.06.2018r.) województwo warmińsko-mazurskie, 18 uczestników w tym 18 przedstawicieli LGD, 
15) Wymiana doświadczeń i nawiązanie współpracy z LGD województwa lubelskiego - wyjazd studyjny (03.10.2018 r.-05.10.2018 r.), 33 uczestników w tym 33 przedstawicieli LGD,
16) Aktywna Wieś- warsztaty dla dzieci i młodzież w wieku szkolnym mieszkających na terenie Gminy Grajewo ( lipiec-sierpień 2018r.), 217 uczestników ( cykl 5 dniowych warsztatów w 14 świetlicach),
17) "Brama na Podlasie- Brama do lokalnych tradycji - wyjazd studyjny" ( 07-09.08.2018 r.) woj. mazowieckie i kujawsko-pomorskie, 30 uczestników w tym 10 przedstawicieli LGD,  
18) Od pomysłu do zmiany. Konferencja Sieciująca LGD: Promocja i Współpraca Regionalna i Międzyterytorialna (18-19.10.2018 r.), Supraśl  - 52 uczestników w tym 29 przedstawicieli LGD,
19) Forum Podlaskiej Sieci Lokalnych Grup Działania” ( 22-23 marca 2018 r.) Supraśl -104 uczestników, 66 przedstawicieli LGD, 9 przedstawicieli IZ/AP, 29- przedstawiciele urzędów marszałkowskich i innych instytucji),  
20) Warsztaty „Popularyzacja przetwórstwa mleka na Podlasiu, jako dodatkowego źródła dochodu” 28.06.2018 r. Klukowo- 26 uczestników i 05.10.2018 r. Mielnik- 23 uczestników,
21) „Olimpiada Aktywności Wiejskiej” - IV edycja, 17.08.2018  Sejny- 13 osób,  20.08.2018 Siemiatycze -14 osób,   22.08.2018 Łady Polne -23 osoby,   23.08.2018 –Białystok   9 osób,
22) Warsztaty kosmetyczne „Kosmetyki prosto z gospodarstwa” 3 edycje : 20.09.2018 Łady Polne -22 uczestników, 01.10.2018  Dobry Las - 21 uczestników, 12.10.2018 BOK Białystok -26 uczestników.            
</t>
    </r>
    <r>
      <rPr>
        <b/>
        <sz val="10"/>
        <color theme="1"/>
        <rFont val="Calibri"/>
        <family val="2"/>
        <charset val="238"/>
        <scheme val="minor"/>
      </rPr>
      <t xml:space="preserve">INNE   </t>
    </r>
    <r>
      <rPr>
        <sz val="10"/>
        <color theme="1"/>
        <rFont val="Calibri"/>
        <family val="2"/>
        <scheme val="minor"/>
      </rPr>
      <t xml:space="preserve">                                                                                                                                                                                                                                                                                                                                                                                                                                                                                                                                                 1) Szkolenie dla Partnerów KSOW dotyczące zasad wypełniania wniosku o wybór operacji –   17.01.2018 Suwałki  - 22 uczestników ( w tym 2 przedstawicieli LGD) ,  18.01.2018 Białystok – 51 uczestników ( w tym 4 przedstawicieli LGD, 19.01.2018 –Łomża -23 uczestników w tym 2 przedstawicieli LGD),  
2) Spotkanie informacyjne dla przedstawicieli LGD  18.06.2018  Białystok – 34 uczestników, w tym 25 przedstawicieli LGD,
3) Omówienie zobowiązań Partnerów KSOW wynikających z umowy na realziację operacji 10.05.2018 Białystok - 30 uczestników tym 8 przedstawicieli LGD),                                                                                                                                                                                                                                                                                    4)Spotkanie koordynacyjne podmiotów wdrażających PROW z PIFE 12.12.2018 Białystok 13 osób ( w tym 4 przedstawcieli LGD, 1- ARiMR)                                                                                                                                                                                                                                                                                                                                                              </t>
    </r>
    <r>
      <rPr>
        <b/>
        <sz val="10"/>
        <color theme="1"/>
        <rFont val="Calibri"/>
        <family val="2"/>
        <charset val="238"/>
        <scheme val="minor"/>
      </rPr>
      <t xml:space="preserve">W kategorii  inne ( grupy interesariuszy) </t>
    </r>
    <r>
      <rPr>
        <sz val="10"/>
        <color theme="1"/>
        <rFont val="Calibri"/>
        <family val="2"/>
        <charset val="238"/>
        <scheme val="minor"/>
      </rPr>
      <t xml:space="preserve">uwzględniono  podmioty zainteresowane pszczelarstwem, uczniów szkół rolniczych, Partnerzy KSOW, mieszkańcy obszarów wiejskich woj. podlaskiego, przedstawiciele instytucji wdrażającej, potencjalni beneficjenci.                                                                                                                                                                                                                                                                                                                                                                                                                     </t>
    </r>
  </si>
  <si>
    <t xml:space="preserve">1) Forum Lokalnych Grup Działania –konferencja (13-14.09.2018 r.) Zabuże gm. Sarnaki, 48 uczestników w tym 35 przedstawicieli LGD, 
2) Od pomysłu do zmiany. Konferencja Sieciująca LGD: Promocja i Współpraca Regionalna i Międzyterytorialna (18-19.10.2018 r.), Supraśl  - 52 uczestników w tym 29 przedstawicieli LGD,
3) Forum Podlaskiej Sieci Lokalnych Grup Działania” ( 22-23 marca 2018 r.) Supraśl -104 uczestników, 66 przedstawicieli LGD, 9- przedstawicieli IZ/AP , 29- przedstawiciele urzędów marszałkowskich i innych instytucji),  
4) Spotkanie informacyjne dla przedstawicieli LGD  18.06.2018  Białystok – 34 uczestników w tym 25 przedstawicieli LGD.
</t>
  </si>
  <si>
    <t>W kosztach funkcjonownia ujęte zostały  koszty związane z wynagrodzeniami pracowników, koszty delegacji, zakup artykułów biurowych, itp. niezbędne do funkcjonowania JR KSOW.</t>
  </si>
  <si>
    <t>Jednostka wdrażająca: Jednostka Regionalna KSOW Województwa Pomorskiego</t>
  </si>
  <si>
    <r>
      <t xml:space="preserve">Komentarz: </t>
    </r>
    <r>
      <rPr>
        <b/>
        <sz val="10"/>
        <color theme="1"/>
        <rFont val="Calibri"/>
        <family val="2"/>
        <charset val="238"/>
        <scheme val="minor"/>
      </rPr>
      <t/>
    </r>
  </si>
  <si>
    <t>G16 - wydarzenia ocharkterze plenerowym / wystawy/dożynki wskazane w kol. "imprezy masowe". Wszystkie te wydarzenia miały charakter loklany/regionlany.</t>
  </si>
  <si>
    <t xml:space="preserve">O16 - dot. 8 wydarzeń to obrady Pomorskiej Grupy Roboczej ds. KSOW (1x spotkanie, 7x decyzje podejmowane w trybie obiegowym) dot. wdrażania KSOW w ramach PROW 2014-2020, 5 spotkań w ramach Działania 8 (Plan Komunikacyjny) z zakresu informowania i promowania PROW 2014-2020.  </t>
  </si>
  <si>
    <t xml:space="preserve">E27 - dot wydrzenia realizowanego w ramach Działania 8 (Plan Komunikacyjny) organizowanego przez inne województwo, w którym uczestniczyła 1 osoba z wojewódzwa pomorskiego </t>
  </si>
  <si>
    <t>G27 - uczestników wydarzeń ocharkterze plenerowym / wystawy/dożynki wskazano tylko w kol. "imprezy masowe", są to dane szczunkowe</t>
  </si>
  <si>
    <r>
      <t xml:space="preserve"> Komentarz:  </t>
    </r>
    <r>
      <rPr>
        <b/>
        <sz val="10"/>
        <rFont val="Calibri"/>
        <family val="2"/>
        <charset val="238"/>
        <scheme val="minor"/>
      </rPr>
      <t xml:space="preserve">Dot. K40          </t>
    </r>
    <r>
      <rPr>
        <sz val="10"/>
        <rFont val="Calibri"/>
        <family val="2"/>
        <charset val="238"/>
        <scheme val="minor"/>
      </rPr>
      <t xml:space="preserve">                                                                                                                                                                                                                              - 2 publikacje wydane w ramach operacji pn. Kociewska Akademia Wiedzy - tworzenie (rozszerzanie) i wzmacnianie sieci kontaktów kociewskich LGD przez działania szkoleniowe i promocyjne - tj. </t>
    </r>
    <r>
      <rPr>
        <b/>
        <sz val="10"/>
        <rFont val="Calibri"/>
        <family val="2"/>
        <charset val="238"/>
        <scheme val="minor"/>
      </rPr>
      <t xml:space="preserve">"Katalog turystyki wiejskiej" </t>
    </r>
    <r>
      <rPr>
        <sz val="10"/>
        <rFont val="Calibri"/>
        <family val="2"/>
        <charset val="238"/>
        <scheme val="minor"/>
      </rPr>
      <t xml:space="preserve">i </t>
    </r>
    <r>
      <rPr>
        <b/>
        <sz val="10"/>
        <rFont val="Calibri"/>
        <family val="2"/>
        <charset val="238"/>
        <scheme val="minor"/>
      </rPr>
      <t>"Mapa kwater agroturystycznych"</t>
    </r>
    <r>
      <rPr>
        <sz val="10"/>
        <rFont val="Calibri"/>
        <family val="2"/>
        <charset val="238"/>
        <scheme val="minor"/>
      </rPr>
      <t>, - 3 publikacje wydane w ramach realizacji operacji pn. Pomorska Wojewódzka Wystawa Zwierząt Hodowlanych w Lubaniu - tj.</t>
    </r>
    <r>
      <rPr>
        <b/>
        <sz val="10"/>
        <rFont val="Calibri"/>
        <family val="2"/>
        <charset val="238"/>
        <scheme val="minor"/>
      </rPr>
      <t xml:space="preserve"> katalog koni, katalog - jałówki mleczne, katalog - owce, drób hodowlany, króliki, gołębie, ptactwo ozdobne</t>
    </r>
    <r>
      <rPr>
        <sz val="10"/>
        <rFont val="Calibri"/>
        <family val="2"/>
        <charset val="238"/>
        <scheme val="minor"/>
      </rPr>
      <t>;  - 1 publikacja wydana w ramach realizacji operacji pn. Wystawa Zwierząt Hodowlanych w Lubaniu - tj.</t>
    </r>
    <r>
      <rPr>
        <b/>
        <sz val="10"/>
        <rFont val="Calibri"/>
        <family val="2"/>
        <charset val="238"/>
        <scheme val="minor"/>
      </rPr>
      <t xml:space="preserve"> katalog "Wystawa Zwierząt Hodowlanych"</t>
    </r>
    <r>
      <rPr>
        <sz val="10"/>
        <rFont val="Calibri"/>
        <family val="2"/>
        <charset val="238"/>
        <scheme val="minor"/>
      </rPr>
      <t xml:space="preserve">, - 1 publikacja wydana w ramach realizacji operacji pn. Wystawa specjalistyczna - Czempionat koni rasy polski koń zimnokrwisty w typie sztumskim jako element promocji ochrony zasobów genetycznych zwierząt gosposdarskich - tj. </t>
    </r>
    <r>
      <rPr>
        <b/>
        <sz val="10"/>
        <rFont val="Calibri"/>
        <family val="2"/>
        <charset val="238"/>
        <scheme val="minor"/>
      </rPr>
      <t>"Katalog koni"</t>
    </r>
    <r>
      <rPr>
        <sz val="10"/>
        <rFont val="Calibri"/>
        <family val="2"/>
        <charset val="238"/>
        <scheme val="minor"/>
      </rPr>
      <t xml:space="preserve">,  - 1 publikacja wydana w ramach realizacji operacji pn. Wieś z historią, jadłem i teatrem płynąca tj. - </t>
    </r>
    <r>
      <rPr>
        <b/>
        <sz val="10"/>
        <rFont val="Calibri"/>
        <family val="2"/>
        <charset val="238"/>
        <scheme val="minor"/>
      </rPr>
      <t>"Debrzno - miasto historią pisane"</t>
    </r>
  </si>
  <si>
    <t xml:space="preserve">Komentarz: Dobre praktyki zostały zidentyfikowane na etapie wdrażania i rozliczania operacji realizowanych przez Partnerów KSOW w ramach Planu operacyjnego KSOW w 2018 r., w trakcie realizacji operacji własnych oraz Partnerów KSOW, w wyniku realizacji konkursu, którego celem było wyłonienie dobrych praktyk w turystyce wiejskiej oraz na etapie wdrażania i rozliczania operacji w ramach działań PROW wdrażanych przez Samorząd Województwa. W/w operacje promowane były m.in. na stronach internetowych Partnerów KSOW, beneficjentów PROW, na portalu KSOW oraz stronie www.dprow.pomorskie.eu. </t>
  </si>
  <si>
    <r>
      <t xml:space="preserve">Komentarz: </t>
    </r>
    <r>
      <rPr>
        <b/>
        <sz val="10"/>
        <color theme="1"/>
        <rFont val="Calibri"/>
        <family val="2"/>
        <charset val="238"/>
        <scheme val="minor"/>
      </rPr>
      <t xml:space="preserve">Dot. E67: </t>
    </r>
    <r>
      <rPr>
        <sz val="10"/>
        <color theme="1"/>
        <rFont val="Calibri"/>
        <family val="2"/>
        <charset val="238"/>
        <scheme val="minor"/>
      </rPr>
      <t xml:space="preserve">spotkanie Pomorskiej Grupy Roboczej ds. KSOW (PGR ds. KSOW) - 1, decyzje podejmowane przez PGR ds. KSOW w trybie obiegowym - 7.  </t>
    </r>
    <r>
      <rPr>
        <b/>
        <sz val="10"/>
        <color theme="1"/>
        <rFont val="Calibri"/>
        <family val="2"/>
        <charset val="238"/>
        <scheme val="minor"/>
      </rPr>
      <t xml:space="preserve">Dot. L67: </t>
    </r>
    <r>
      <rPr>
        <sz val="10"/>
        <color theme="1"/>
        <rFont val="Calibri"/>
        <family val="2"/>
        <charset val="238"/>
        <scheme val="minor"/>
      </rPr>
      <t>dot. wdrażania KSOW w ramach PROW 2014-2020</t>
    </r>
  </si>
  <si>
    <r>
      <t xml:space="preserve">Komentarz: </t>
    </r>
    <r>
      <rPr>
        <b/>
        <sz val="10"/>
        <color theme="1"/>
        <rFont val="Calibri"/>
        <family val="2"/>
        <charset val="238"/>
        <scheme val="minor"/>
      </rPr>
      <t>Dot. K78</t>
    </r>
    <r>
      <rPr>
        <sz val="10"/>
        <color theme="1"/>
        <rFont val="Calibri"/>
        <family val="2"/>
        <charset val="238"/>
        <scheme val="minor"/>
      </rPr>
      <t>: dot. wdrażania KSOW w ramach PROW 2014-2020</t>
    </r>
  </si>
  <si>
    <t>F135 - ujęto wydarzenia, które miały na celu wymianę informacji, myśli i uwag m.in. konferencje, sympozja</t>
  </si>
  <si>
    <t>O135 -  dot. działań wdrażanych przez samorządy w ramach  PROW 2014-2020 tj. szkolenia realizowane w ramach Działania 8 (Plan komunikacyjny).</t>
  </si>
  <si>
    <t>H135- ilość dni działań szkoleniowych ujetych w kolumnie "inne" wynosi 8 dni</t>
  </si>
  <si>
    <t>H146 - brak danych</t>
  </si>
  <si>
    <t>L146: podmioty gospodarcze z branży turystyki wiejskiej, przedstawiciele: jst., podmiotów społecznych i publicznych działające w zakresie turystyki; przedstawiciele sektora publicznego, nauki działający w zakresie ochrony przyrody, przedstawiciele lasów państwowych; mieszkańcy obszarów wiejskich; beneficjenci/potencjalni beneficjenci PROW 2014-2020</t>
  </si>
  <si>
    <r>
      <t xml:space="preserve">Komentarz: </t>
    </r>
    <r>
      <rPr>
        <sz val="10"/>
        <rFont val="Calibri"/>
        <family val="2"/>
        <charset val="238"/>
        <scheme val="minor"/>
      </rPr>
      <t xml:space="preserve"> </t>
    </r>
  </si>
  <si>
    <t xml:space="preserve">F159 -  współpraca z LGD tj. "GAL Garda e colli mantovani" z Włoch, w tym szacunkowo z 10 osobami będącymi jego członkami i pracownikami biura. </t>
  </si>
  <si>
    <t>G169 - koszty zwiazane z działaniami wymienionymi w częścich 3-7 zostały w pozycji "w tym wydarzenia"</t>
  </si>
  <si>
    <t>G170 - wynagrodzenia pracowników JR KSOW, oplaty związane z wynajmem pomieszczeń biurowych, koszty delegacji słuzbowych, zakup zestawu komputerowego</t>
  </si>
  <si>
    <t>Jednostka wdrażająca: Jednostka Regionalna KSOW w województwie śląskim</t>
  </si>
  <si>
    <t>Stan na: 31 grudnia 2018 roku</t>
  </si>
  <si>
    <r>
      <t>In</t>
    </r>
    <r>
      <rPr>
        <i/>
        <sz val="10"/>
        <color theme="1"/>
        <rFont val="Calibri"/>
        <family val="2"/>
        <charset val="238"/>
        <scheme val="minor"/>
      </rPr>
      <t>ne (lub mieszane) tematy (proszę  wymienić w komentarzach)</t>
    </r>
  </si>
  <si>
    <r>
      <t>Komentarz: W</t>
    </r>
    <r>
      <rPr>
        <i/>
        <sz val="10"/>
        <color theme="1"/>
        <rFont val="Calibri"/>
        <family val="2"/>
        <charset val="238"/>
        <scheme val="minor"/>
      </rPr>
      <t xml:space="preserve"> </t>
    </r>
    <r>
      <rPr>
        <sz val="10"/>
        <color theme="1"/>
        <rFont val="Calibri"/>
        <family val="2"/>
        <charset val="238"/>
        <scheme val="minor"/>
      </rPr>
      <t>tabeli</t>
    </r>
    <r>
      <rPr>
        <i/>
        <sz val="10"/>
        <color theme="1"/>
        <rFont val="Calibri"/>
        <family val="2"/>
        <charset val="238"/>
        <scheme val="minor"/>
      </rPr>
      <t xml:space="preserve"> Zakres tematyczny</t>
    </r>
    <r>
      <rPr>
        <sz val="10"/>
        <color theme="1"/>
        <rFont val="Calibri"/>
        <family val="2"/>
        <charset val="238"/>
        <scheme val="minor"/>
      </rPr>
      <t xml:space="preserve"> w kolumnie </t>
    </r>
    <r>
      <rPr>
        <i/>
        <sz val="10"/>
        <color theme="1"/>
        <rFont val="Calibri"/>
        <family val="2"/>
        <charset val="238"/>
        <scheme val="minor"/>
      </rPr>
      <t xml:space="preserve">Inne (lub mieszane) tematy </t>
    </r>
    <r>
      <rPr>
        <sz val="10"/>
        <color theme="1"/>
        <rFont val="Calibri"/>
        <family val="2"/>
        <charset val="238"/>
        <scheme val="minor"/>
      </rPr>
      <t>wykazano 11 wydarzeń, których nie można przyporządkować do wiodących priorytetów. Zakres tematyczny tych</t>
    </r>
    <r>
      <rPr>
        <i/>
        <sz val="10"/>
        <color theme="1"/>
        <rFont val="Calibri"/>
        <family val="2"/>
        <charset val="238"/>
        <scheme val="minor"/>
      </rPr>
      <t xml:space="preserve"> </t>
    </r>
    <r>
      <rPr>
        <sz val="10"/>
        <color theme="1"/>
        <rFont val="Calibri"/>
        <family val="2"/>
        <charset val="238"/>
        <scheme val="minor"/>
      </rPr>
      <t>wydarzeń jest związany z działalnością Wojewódzkiej Grupy Roboczej ds. KSOW i dotyczy uchwał podjętych przez WGR w 2018 roku.  Szczegółowa informacja o zakresie tematycznym podjętych przez WGR uchwał znajduje się w</t>
    </r>
    <r>
      <rPr>
        <i/>
        <sz val="10"/>
        <color theme="1"/>
        <rFont val="Calibri"/>
        <family val="2"/>
        <charset val="238"/>
        <scheme val="minor"/>
      </rPr>
      <t xml:space="preserve"> Informacji do sprawozdania rocznego</t>
    </r>
    <r>
      <rPr>
        <sz val="10"/>
        <color theme="1"/>
        <rFont val="Calibri"/>
        <family val="2"/>
        <charset val="238"/>
        <scheme val="minor"/>
      </rPr>
      <t xml:space="preserve"> w pkt. 3</t>
    </r>
    <r>
      <rPr>
        <i/>
        <sz val="10"/>
        <color theme="1"/>
        <rFont val="Calibri"/>
        <family val="2"/>
        <charset val="238"/>
        <scheme val="minor"/>
      </rPr>
      <t xml:space="preserve"> Sprawozdanie z działalności WGR</t>
    </r>
    <r>
      <rPr>
        <sz val="10"/>
        <color theme="1"/>
        <rFont val="Calibri"/>
        <family val="2"/>
        <charset val="238"/>
        <scheme val="minor"/>
      </rPr>
      <t xml:space="preserve">.
</t>
    </r>
  </si>
  <si>
    <r>
      <t xml:space="preserve">Komentarz: ROK 2018: Dane wskazane w tabeli 4.1 </t>
    </r>
    <r>
      <rPr>
        <i/>
        <sz val="10"/>
        <color theme="1"/>
        <rFont val="Calibri"/>
        <family val="2"/>
        <charset val="238"/>
        <scheme val="minor"/>
      </rPr>
      <t>Liczba utworzonych grup tematycznych i zorganizowanych spotkań</t>
    </r>
    <r>
      <rPr>
        <sz val="10"/>
        <color theme="1"/>
        <rFont val="Calibri"/>
        <family val="2"/>
        <charset val="238"/>
        <scheme val="minor"/>
      </rPr>
      <t xml:space="preserve"> dotyczą Wojewódzkiej Grupy Roboczej ds. KSOW. Na liczbę spotkań grup tematycznych składają się: 1 spotkanie, 10 uchwał podjętych przez WGR w trybie obiegowym oraz zatwierdzenie jednego protokołu. Ze względu na specyfikę działania WGR przyporządkowano ją do obszaru tematycznego  w kolumnie </t>
    </r>
    <r>
      <rPr>
        <i/>
        <sz val="10"/>
        <color theme="1"/>
        <rFont val="Calibri"/>
        <family val="2"/>
        <charset val="238"/>
        <scheme val="minor"/>
      </rPr>
      <t>Inne (lub mieszane) tematy</t>
    </r>
    <r>
      <rPr>
        <sz val="10"/>
        <color theme="1"/>
        <rFont val="Calibri"/>
        <family val="2"/>
        <charset val="238"/>
        <scheme val="minor"/>
      </rPr>
      <t>.</t>
    </r>
  </si>
  <si>
    <r>
      <t xml:space="preserve">Komentarz: ROK 2018: W kolumnie </t>
    </r>
    <r>
      <rPr>
        <i/>
        <sz val="10"/>
        <color theme="1"/>
        <rFont val="Calibri"/>
        <family val="2"/>
        <charset val="238"/>
        <scheme val="minor"/>
      </rPr>
      <t>Liczba osób według typu inicjatyw</t>
    </r>
    <r>
      <rPr>
        <sz val="10"/>
        <color theme="1"/>
        <rFont val="Calibri"/>
        <family val="2"/>
        <charset val="238"/>
        <scheme val="minor"/>
      </rPr>
      <t xml:space="preserve"> wskazano liczbę osób, które brały czynny udział w pracy WGR ds. KSOW tj. podejmowały uchwały w trybie obiegowym, wzieły udział w spotkaniu oraz zatwierdziły protokoł.</t>
    </r>
  </si>
  <si>
    <r>
      <t xml:space="preserve">Komentarz: ROK 2018: W tabeli </t>
    </r>
    <r>
      <rPr>
        <i/>
        <sz val="10"/>
        <color theme="1"/>
        <rFont val="Calibri"/>
        <family val="2"/>
        <charset val="238"/>
        <scheme val="minor"/>
      </rPr>
      <t>Rodzaj działania szkoleniowego</t>
    </r>
    <r>
      <rPr>
        <sz val="10"/>
        <color theme="1"/>
        <rFont val="Calibri"/>
        <family val="2"/>
        <charset val="238"/>
        <scheme val="minor"/>
      </rPr>
      <t xml:space="preserve"> w kolumnie </t>
    </r>
    <r>
      <rPr>
        <i/>
        <sz val="10"/>
        <color theme="1"/>
        <rFont val="Calibri"/>
        <family val="2"/>
        <charset val="238"/>
        <scheme val="minor"/>
      </rPr>
      <t>Warsztaty/szkolenia</t>
    </r>
    <r>
      <rPr>
        <sz val="10"/>
        <color theme="1"/>
        <rFont val="Calibri"/>
        <family val="2"/>
        <charset val="238"/>
        <scheme val="minor"/>
      </rPr>
      <t xml:space="preserve"> uwzględniono także szkolenie e-learningowe, które odbyło się w dniach 21.05 - 15.07 2018 (56 dni), natomiast w kolumnie </t>
    </r>
    <r>
      <rPr>
        <i/>
        <sz val="10"/>
        <color theme="1"/>
        <rFont val="Calibri"/>
        <family val="2"/>
        <charset val="238"/>
        <scheme val="minor"/>
      </rPr>
      <t>Inne</t>
    </r>
    <r>
      <rPr>
        <sz val="10"/>
        <color theme="1"/>
        <rFont val="Calibri"/>
        <family val="2"/>
        <charset val="238"/>
        <scheme val="minor"/>
      </rPr>
      <t xml:space="preserve"> uwzględniono spotkanie dla beneficjentów i potencjalnych beneficjentów PROW 2014-2020. </t>
    </r>
  </si>
  <si>
    <r>
      <t xml:space="preserve">Komentarz: W tabeli </t>
    </r>
    <r>
      <rPr>
        <i/>
        <sz val="10"/>
        <color theme="1"/>
        <rFont val="Calibri"/>
        <family val="2"/>
        <charset val="238"/>
        <scheme val="minor"/>
      </rPr>
      <t>Rodzaj działania szkoleniowego</t>
    </r>
    <r>
      <rPr>
        <sz val="10"/>
        <color theme="1"/>
        <rFont val="Calibri"/>
        <family val="2"/>
        <charset val="238"/>
        <scheme val="minor"/>
      </rPr>
      <t xml:space="preserve"> w kolumnie</t>
    </r>
    <r>
      <rPr>
        <i/>
        <sz val="10"/>
        <color theme="1"/>
        <rFont val="Calibri"/>
        <family val="2"/>
        <charset val="238"/>
        <scheme val="minor"/>
      </rPr>
      <t xml:space="preserve"> Inne</t>
    </r>
    <r>
      <rPr>
        <sz val="10"/>
        <color theme="1"/>
        <rFont val="Calibri"/>
        <family val="2"/>
        <charset val="238"/>
        <scheme val="minor"/>
      </rPr>
      <t xml:space="preserve"> uwzględniono 80 uczestników spotkania dla beneficjentów i potencjalnych beneficjentów PROW 2014-2020. </t>
    </r>
  </si>
  <si>
    <t>Komentarz: ROK 2018: dotyczy 1 wyjazdu studyjnego zorganizowanego dla przedstawicieli LGD w celu nawiązania współpracy z LGD z terenu Rumunii</t>
  </si>
  <si>
    <t>W wierszu "w tym wydarzenia" uwzględniono zdarzenia przypisane do więcej niż jednej części WSS tj. w częsci 1 i w czesciach od 3 do 7.</t>
  </si>
  <si>
    <t>Na koszty funkcjonowania poniesione w 2018 r. składają się następujące elementy: wynagrodzenie pracowników JR KSOW wraz z nagrodami i "trzynastką" w kwocie 364 154,11 zł, delegacje 3 503,09 zł, podnoszenie kwalifikacji pracowników (delegacje) 1 243,71 zł, koszty internetu do tabletu 62,64 zł, koszty telefonów stacjonarnych (połączeń) 14,54 zł, koszty wydruku centralnego (wydruk i dzierżawa) 2 315,49 zł, chmura 966,00 zł. RAZEM koszty funkcjonowania to 372 259,58 zł.</t>
  </si>
  <si>
    <t>Jednostka wdrażająca: Urząd Marszałkowski Województwa Świętokrzyskiego</t>
  </si>
  <si>
    <t xml:space="preserve">Komentarz:                                                                                                                                                                                                                                                                                                        Impreza masowa: X Międzynarodowe Targi Turystyki Wiejskiej i Aktywnej AGROTRAVEL &amp; ACTIVE LIFE 2018.                                                                                                                        Zakres tematyczny (inne): 8 posiedzeń Wojewódzkiej Grupy Roboczej ds. KSOW  w sprawie:  Pozytywnego zaopiniowania zmian w operacji  do realizacji w ramach działania Plan komunikacyjny Planu operacyjnego 2016 - 2017  Krajowej Sieci Obszarów Wiejskich  na lata 2014-2020 dla województwa świętokrzyskiego; Zaopiniowania  Sprawozdania z realizacji dwuletniego  Planu operacyjnego na lata 2016 - 2017 Krajowej Sieci Obszarów Wiejskich Województwa Świętokrzyskiego  w ramach Programu Rozwoju Obszarów wiejskich na lata  2014-2020; Zaopiniowania zmian w Planie operacyjnym na lata 2016 – 2017 Planu Działania Krajowej Sieci Obszarów Wiejskich na lata 2014 – 2020 dla województwa świętokrzyskiego w ramach Programu Rozwoju Obszarów Wiejskich na lata 2014 - 2020; Zaopiniowania  Sprawozdania rocznego z realizacji  Planu działania    Krajowej Sieci Obszarów Wiejskich na lata 2014 – 2020  w ramach Programu Rozwoju Obszarów wiejskich na lata  2014-2020; Zaopiniowania  Propozycji operacji własnych  do Dwuletniego Planu Operacyjnego na lata 2018-2019 Krajowej Sieci Obszarów Wiejskich Województwa Świętokrzyskiego w ramach  Programu Rozwoju Obszarów Wiejskich na lata  2014-2020; Zaopiniowania  Propozycji operacji do realizacji w ramach działania Plan komunikacyjny Planu operacyjnego na lata 2018 – 2019  Krajowej Sieci Obszarów Wiejskich  na lata  2014-2020 dla Województwa świętokrzyskiego; Zaopiniowania Listy ocenionych i wybranych do realizacji operacji Partnerów KSOW w ramach naboru na 2018 rok do Planu operacyjnego na lata 2018 – 2019 Planu Działania Krajowej Sieci Obszarów Wiejskich na lata 2014 – 2020 dla województwa świętokrzyskiego; Zaopiniowania Półrocznej informacji  z realizacji Planu operacyjnego na lata 2018 – 2019 za rok 2018 Krajowej Sieci Obszarów Wiejskich  Województwa   Świętokrzyskiego  w ramach Programu Rozwoju Obszarów Wiejskich   na   lata 2014-2020; Zaopiniowania zmian w Planie operacyjnym na lata 2018 – 2019 Planu Działania Krajowej Sieci Obszarów Wiejskich na lata 2014 – 2020 dla województwa świętokrzyskiego.                                                                                                                        </t>
  </si>
  <si>
    <t>Komentarz: 
X Międzynarodowe Targi Turystyki Wiejskiej i Aktywnej AGROTRAVEL &amp; ACTIVE LIFE 2018, liczba odwiedzających 20 000.</t>
  </si>
  <si>
    <t xml:space="preserve">Komentarz: 8 posiedzeń Wojewódzkiej Grupy Roboczej ds. KSOW w sprawie:  Pozytywnego zaopiniowania zmian w operacji  do realizacji w ramach działania Plan komunikacyjny Planu operacyjnego 2016 - 2017  Krajowej Sieci Obszarów Wiejskich  na lata 2014-2020 dla województwa świętokrzyskiego; Zaopiniowania  Sprawozdania z realizacji dwuletniego  Planu operacyjnego na lata 2016 - 2017 Krajowej Sieci Obszarów Wiejskich Województwa Świętokrzyskiego  w ramach Programu Rozwoju Obszarów wiejskich na lata  2014-2020; Zaopiniowania zmian w Planie operacyjnym na lata 2016 – 2017 Planu Działania Krajowej Sieci Obszarów Wiejskich na lata 2014 – 2020 dla województwa świętokrzyskiego w ramach Programu Rozwoju Obszarów Wiejskich na lata 2014 - 2020; Zaopiniowania  Sprawozdania rocznego z realizacji  Planu działania    Krajowej Sieci Obszarów Wiejskich na lata 2014 – 2020  w ramach Programu Rozwoju Obszarów wiejskich na lata  2014-2020; Zaopiniowania  Propozycji operacji własnych  do Dwuletniego Planu Operacyjnego na lata 2018-2019 Krajowej Sieci Obszarów Wiejskich Województwa Świętokrzyskiego w ramach  Programu Rozwoju Obszarów Wiejskich na lata  2014-2020; Zaopiniowania  Propozycji operacji do realizacji w ramach działania Plan komunikacyjny Planu operacyjnego na lata 2018 – 2019  Krajowej Sieci Obszarów Wiejskich  na lata  2014-2020 dla Województwa świętokrzyskiego; Zaopiniowania Listy ocenionych i wybranych do realizacji operacji Partnerów KSOW w ramach naboru na 2018 rok do Planu operacyjnego na lata 2018 – 2019 Planu Działania Krajowej Sieci Obszarów Wiejskich na lata 2014 – 2020 dla województwa świętokrzyskiego; Zaopiniowania Półrocznej informacji  z realizacji Planu operacyjnego na lata 2018 – 2019 za rok 2018 Krajowej Sieci Obszarów Wiejskich  Województwa   Świętokrzyskiego  w ramach Programu Rozwoju Obszarów Wiejskich   na   lata 2014-2020; Zaopiniowania zmian w Planie operacyjnym na lata 2018 – 2019 Planu Działania Krajowej Sieci Obszarów Wiejskich na lata 2014 – 2020 dla województwa świętokrzyskiego. 
</t>
  </si>
  <si>
    <t xml:space="preserve">Komentarz: 2 seminaria </t>
  </si>
  <si>
    <r>
      <rPr>
        <b/>
        <sz val="10"/>
        <color theme="1"/>
        <rFont val="Calibri"/>
        <family val="2"/>
        <charset val="238"/>
        <scheme val="minor"/>
      </rPr>
      <t xml:space="preserve">Komentarz: "Świętokrzyska Kuźnia Smaków – lokalna marka" - </t>
    </r>
    <r>
      <rPr>
        <sz val="10"/>
        <color theme="1"/>
        <rFont val="Calibri"/>
        <family val="2"/>
        <charset val="238"/>
        <scheme val="minor"/>
      </rPr>
      <t>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t>
    </r>
    <r>
      <rPr>
        <b/>
        <sz val="10"/>
        <color theme="1"/>
        <rFont val="Calibri"/>
        <family val="2"/>
        <charset val="238"/>
        <scheme val="minor"/>
      </rPr>
      <t xml:space="preserve">;  "Wyjazd studyjny zagraniczny do krajów UE" </t>
    </r>
    <r>
      <rPr>
        <sz val="10"/>
        <color theme="1"/>
        <rFont val="Calibri"/>
        <family val="2"/>
        <charset val="238"/>
        <scheme val="minor"/>
      </rPr>
      <t>-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t>
    </r>
    <r>
      <rPr>
        <b/>
        <sz val="10"/>
        <color theme="1"/>
        <rFont val="Calibri"/>
        <family val="2"/>
        <charset val="238"/>
        <scheme val="minor"/>
      </rPr>
      <t xml:space="preserve"> </t>
    </r>
    <r>
      <rPr>
        <sz val="10"/>
        <color theme="1"/>
        <rFont val="Calibri"/>
        <family val="2"/>
        <charset val="238"/>
        <scheme val="minor"/>
      </rPr>
      <t xml:space="preserve">; </t>
    </r>
    <r>
      <rPr>
        <b/>
        <sz val="10"/>
        <color theme="1"/>
        <rFont val="Calibri"/>
        <family val="2"/>
        <charset val="238"/>
        <scheme val="minor"/>
      </rPr>
      <t xml:space="preserve">Warsztaty "Potrawy regionalne i tradycyjne z gęsiny" </t>
    </r>
    <r>
      <rPr>
        <sz val="10"/>
        <color theme="1"/>
        <rFont val="Calibri"/>
        <family val="2"/>
        <charset val="238"/>
        <scheme val="minor"/>
      </rPr>
      <t xml:space="preserve">- Koła gospodyń wiejskich z terenu województwa świętokrzyskiego, mieszkańcy regionu świętokrzyskiego ; </t>
    </r>
    <r>
      <rPr>
        <b/>
        <sz val="10"/>
        <color theme="1"/>
        <rFont val="Calibri"/>
        <family val="2"/>
        <charset val="238"/>
        <scheme val="minor"/>
      </rPr>
      <t xml:space="preserve">"Wyjazd studyjny dla członków Świętokrzyskiej Sieci Dziedzictwa Kulinarnego do Województwa podkarpackiego" </t>
    </r>
    <r>
      <rPr>
        <sz val="10"/>
        <color theme="1"/>
        <rFont val="Calibri"/>
        <family val="2"/>
        <charset val="238"/>
        <scheme val="minor"/>
      </rPr>
      <t>- członkowie  Sieci Dziedzictwo Kulinarne Świętokrzyskie.</t>
    </r>
  </si>
  <si>
    <t>koszty funkcjonowania - koszty administracyjne</t>
  </si>
  <si>
    <t>Załącznik Nr 2  do Uchwały Nr ………/2019 Wojewódzkiej Grupy Roboczej do spraw Krajowej Sieci Obszarów Wiejskich z dnia …………………… 2019 r.</t>
  </si>
  <si>
    <t>Jednostka wdrażająca: Samorząd Województwa Warmińsko-Mazurskiego</t>
  </si>
  <si>
    <t>Komentarz:  2018                                                                                                                                                                                                                                            1. Udział w Targach "Smaki Regionów" w Poznaniu                                                                                                                                                                            Inne: spotkania Wojewódzkiej Grupy Roboczej do spraw KSOW</t>
  </si>
  <si>
    <t>Komentarz: 2018                                                                                                                                                                                                                                             1. Udział w Targach "Smaki Regionów" w Poznaniu 11 osóbx3 dni targów (przedstawiciele Urzędu Marszałkowskiego oraz Sieci Dziedzictwa Kulinarnego Warmia Mazury i Powiśle"</t>
  </si>
  <si>
    <t xml:space="preserve"> Komentarz:   1 artykuł w prasie branżowej</t>
  </si>
  <si>
    <t>Komentarz: Spotkania Wojewódzkiej Grupy Roboczej do spraw KSOW</t>
  </si>
  <si>
    <t>Komentarz: Liczba osób biorących udział w spotkaniach Wojewódzkiej Grupy Roboczej do spraw KSOW -11 osób, 6 spotkań odbyło się w trybie obiegowym (te same osoby liczone przy każdej akceptacji dokumentacji w tym trybie).</t>
  </si>
  <si>
    <t>Komentarz:   2018                                                                                                                                                                                                                                                      1 Forum LGD Warmii i Mazur.                                                                                                                                                                                                                         4 szkolenia/spotkania informacyjne/konferencje w ramach Planu Komunikacyjnego.                                                                                                                                            1 konferencja zorganizowana przez Partnera KSOW.                                                                                                                                                                                3 wizyty studyjne, w tym 1 krajowa i 2 zagraniczne.                                                                                                                                                                                 1 koferencja w ramach operacji własnych.                                                                                                                                                                                                 1 warsztaty kulinarne.</t>
  </si>
  <si>
    <t>Komentarz:  2018                                                                                                                                                                                                                                                                                                                                                                                                                                                                                                                                                                                                                                                                                                                                                                                                                                                                                                                                                                                                                          1. Forum LGD Warmii i Mazur - 34 osoby (przedstawiciele LGD) x 2 dni, 5 pracowników Urzędu Marszałkowskiego x 2 dni.                                                2. Szkolenie w ramach Planu Komunikacyjnego dla LGD - 33 osoby (przedstawiciele LGD) x 2 dni, 7 pracowników Urzędu Marszałkowskiego x 2 dni.   3. Konferecja w ramach Planu Komunikacyjnego - 98 osób (rolnicy, organizacje rolnicze, jst, organizacje pozarządowe) x 1 dzień, 32 pracowników Urzędu Marszałkowskiego x 1 dzień.                                                                                                                                                                                                           4. Spotkanie dotyczące operacji związanych z budową lub modernizacją dróg lokalnych - 110 osób (przedstawiciele jst z terenu województwa) x 1 dzień.                                                                                                                                                                                                                                                                  5. Spotkanie dotyczące podstawowych usług i odnowy wsi - 64 osoby (przedstawiciele jst z terenu województwa) x 1 dzień, 16 pracowników Urzędu Marszałkowskiego x 1 dzień.                                                                                                                                                                                                                         6. Konferencja zorganizowana przez Partnera KSOW - 73 osoby x 1 dzień, 72 osoby x 1 dzień (przedstawiciele organizacji pozarządowych).                                                                                                                                                                                                                    7. Wizyta studyjna na Węgry - 42 osoby (rolnicy, przedstawiciele organizacji rolniczych) x 5 dni, 3 przedstawicieli LGD x 5 dni, 1 pracownik Urzędu Marszałkowskiego x 5 dni.                                                                                                                                                                                                                             8. Wizyta studyjna do Włoch - 26 osób (przedstawiciele organizacji pozarządowych, przedstawiciele jst) x 9 dni, 5 pracowników Urzędu Marszałkowskiego x 9 dni.                                                                                                                                                                                                                             9. Wizyta studyjna krajowa - 23 osoby (przedstawiciele Sieci Dziedzictwa Kulinarnego Warmia, Mazury, Powiśle) x 3 dni, 2 pracowników Urzędu Marszałkowskiego x 3 dni.                                                                                                                                                                                                                             10. Konferencja na temat żywności wysokiej jakości - 110 osób x 2 dni, 30 osób x 1 dzień (rolnicy, organizacje rolnicze, jst, organizacje pozarządowe, przedsiębiorcy, przedstawiciele Sieci Dziedzictwa Kulinarnego Warmia, Mazury, Powiśle), 13 pracowników Urzędu Marszałkowskiego x 2 dni.                                                                                                                                                                                                                                                             11. Warsztaty kulinarne - 61 osób (przedstawiciele instytucji leśnych, przedsiębiorcy) x 2 dni.</t>
  </si>
  <si>
    <t>Jednostka wdrażająca: JR KSOW wielkopolska</t>
  </si>
  <si>
    <r>
      <t xml:space="preserve">Komentarz: </t>
    </r>
    <r>
      <rPr>
        <u/>
        <sz val="10"/>
        <color theme="1"/>
        <rFont val="Calibri"/>
        <family val="2"/>
        <charset val="238"/>
        <scheme val="minor"/>
      </rPr>
      <t>zasięg międzynarodowy:</t>
    </r>
    <r>
      <rPr>
        <sz val="10"/>
        <color theme="1"/>
        <rFont val="Calibri"/>
        <family val="2"/>
        <charset val="238"/>
        <scheme val="minor"/>
      </rPr>
      <t xml:space="preserve"> Dzień Świętego Marcina w Brukseli, Wielkopolska Wielkanoc w Parlamencie Europejskim, Wyjazd studyjny do Rumunii; </t>
    </r>
    <r>
      <rPr>
        <u/>
        <sz val="10"/>
        <color theme="1"/>
        <rFont val="Calibri"/>
        <family val="2"/>
        <charset val="238"/>
        <scheme val="minor"/>
      </rPr>
      <t>zasięg lokalny/regionalny</t>
    </r>
    <r>
      <rPr>
        <sz val="10"/>
        <color theme="1"/>
        <rFont val="Calibri"/>
        <family val="2"/>
        <charset val="238"/>
        <scheme val="minor"/>
      </rPr>
      <t xml:space="preserve">: Konferencja podsumowująca dotychczasowe efekty wdrażania PROW 2014-2020 oraz PO Rybactwo i Morze 2014-2020, Konferencja szkoleniowa dla sołtysów Województwa Wielkopolskiego, Spotkanie środowisk wiejskich z tradycjami Bożonarodzeniowymi Wielkopolski, Święto Szkaradka posiedzenie Grupy Roboczej ds. KSOW oraz cztery szkolenia realizowane w ramach PK (szkolenie dotyczące możliwości realizacji przedsięwzięć w ramach PROW 2014-2020 oraz aktywizacji mieszkańców obszarów wiejskich-Forum Kobiet, dla LGD z poddziałania 19.2 i 19.4, dla partnerów KSOW nt. konkursu nr 2/2018 oraz dla beneficjentów i potencjalnych beneficjentów nt. naboru wniosków na operacje typu "Inwestycje w obiekty pełniące funkcje kulturalne", operacje typu "Kształtowanie przestrzeni publicznej" oraz operacje typu "Ochrona zabytków i budownictwa tradycyjnego" w ramach działania "Podstawowe usługi i odnowa wsi na obszarach wiejskich" ) oraz 26 wydarzeń realizowanych przez partnerów KSOW; </t>
    </r>
    <r>
      <rPr>
        <u/>
        <sz val="10"/>
        <color theme="1"/>
        <rFont val="Calibri"/>
        <family val="2"/>
        <charset val="238"/>
        <scheme val="minor"/>
      </rPr>
      <t xml:space="preserve">imprezy masowe: </t>
    </r>
    <r>
      <rPr>
        <sz val="10"/>
        <color theme="1"/>
        <rFont val="Calibri"/>
        <family val="2"/>
        <charset val="238"/>
        <scheme val="minor"/>
      </rPr>
      <t xml:space="preserve">Grune Woche, Targi Natura Food; Dożynki Prezydenckie Spała, Dożynki Archidiecezjalno-Wojewódzkie w Poznaniu oraz 8 wydarzeń realizowanych przez partnerów KSOW
</t>
    </r>
  </si>
  <si>
    <r>
      <t xml:space="preserve">Komentarz: </t>
    </r>
    <r>
      <rPr>
        <u/>
        <sz val="10"/>
        <color theme="1"/>
        <rFont val="Calibri"/>
        <family val="2"/>
        <charset val="238"/>
        <scheme val="minor"/>
      </rPr>
      <t>zasięg międzynarodowy:</t>
    </r>
    <r>
      <rPr>
        <sz val="10"/>
        <color theme="1"/>
        <rFont val="Calibri"/>
        <family val="2"/>
        <charset val="238"/>
        <scheme val="minor"/>
      </rPr>
      <t xml:space="preserve"> Dzień Świętego Marcina w Brukseli - 21 osób, </t>
    </r>
    <r>
      <rPr>
        <sz val="10"/>
        <rFont val="Calibri"/>
        <family val="2"/>
        <charset val="238"/>
        <scheme val="minor"/>
      </rPr>
      <t>Wielkopolska Wielkanoc w Parlamencie Europejskim - 340 osób</t>
    </r>
    <r>
      <rPr>
        <sz val="10"/>
        <color theme="1"/>
        <rFont val="Calibri"/>
        <family val="2"/>
        <charset val="238"/>
        <scheme val="minor"/>
      </rPr>
      <t xml:space="preserve">, Wyjazd studyjny do Rumunii-78 osób; </t>
    </r>
    <r>
      <rPr>
        <u/>
        <sz val="10"/>
        <color theme="1"/>
        <rFont val="Calibri"/>
        <family val="2"/>
        <charset val="238"/>
        <scheme val="minor"/>
      </rPr>
      <t>zasięg lokalny/regionalny:</t>
    </r>
    <r>
      <rPr>
        <sz val="10"/>
        <color theme="1"/>
        <rFont val="Calibri"/>
        <family val="2"/>
        <charset val="238"/>
        <scheme val="minor"/>
      </rPr>
      <t xml:space="preserve"> Konferencja podsumowująca dotychczasowe efekty wdrażania PROW 2014-2020 oraz PO Rybactwo i Morze 2014-2020 - 96 osób, Konferencja szkoleniowa dla sołtysów Województwa Wielkopolskiego - 240 osób, Spotkanie środowisk wiejskich z tradycjami Bożonarodzeniowymi Wielkopolski - 200 osób, Święto Szkaradka - 18 osób posiedzenie Grupy Roboczej ds. KSOW - 23 osoby, oraz 481 osób w ramach szkoleń realizowanych w ramach PK (szkolenie dotyczące możliwości realizacji przedsięwzięć w ramach PROW 2014-2020 oraz aktywizacji mieszkańców obszarów wiejskich-Forum Kobiet - 91 osób, dla LGD z poddziałania 19.2 i 19.4 - 56 osób, dla partnerów KSOW nt. konkursu nr 2/2018 - 59 osób oraz dla beneficjentów i potencjalnych beneficjentów nt. naboru wniosków na operacje typu "Inwestycje w obiekty pełniące funkcje kulturalne", operacje typu "Kształtowanie przestrzeni publicznej" oraz operacje typu "Ochrona zabytków i budownictwa tradycyjnego" w ramach działania "Podstawowe usługi i odnowa wsi na obszarach wiejskich" - 275 osób) oraz 3 614 uczestników wydarzeń realizowanych przez partnerów KSOW - ; </t>
    </r>
    <r>
      <rPr>
        <u/>
        <sz val="10"/>
        <color theme="1"/>
        <rFont val="Calibri"/>
        <family val="2"/>
        <charset val="238"/>
        <scheme val="minor"/>
      </rPr>
      <t>imprezy masowe:</t>
    </r>
    <r>
      <rPr>
        <sz val="10"/>
        <color theme="1"/>
        <rFont val="Calibri"/>
        <family val="2"/>
        <charset val="238"/>
        <scheme val="minor"/>
      </rPr>
      <t xml:space="preserve"> </t>
    </r>
    <r>
      <rPr>
        <i/>
        <sz val="10"/>
        <color theme="1"/>
        <rFont val="Calibri"/>
        <family val="2"/>
        <charset val="238"/>
        <scheme val="minor"/>
      </rPr>
      <t xml:space="preserve">zasięg międzynarodowy: </t>
    </r>
    <r>
      <rPr>
        <sz val="10"/>
        <rFont val="Calibri"/>
        <family val="2"/>
        <charset val="238"/>
        <scheme val="minor"/>
      </rPr>
      <t>Grune Woche - ok. 400 000 osób, Targi Natura Food - ok. 12 000 osób;</t>
    </r>
    <r>
      <rPr>
        <sz val="10"/>
        <color theme="1"/>
        <rFont val="Calibri"/>
        <family val="2"/>
        <charset val="238"/>
        <scheme val="minor"/>
      </rPr>
      <t xml:space="preserve"> </t>
    </r>
    <r>
      <rPr>
        <i/>
        <sz val="10"/>
        <color theme="1"/>
        <rFont val="Calibri"/>
        <family val="2"/>
        <charset val="238"/>
        <scheme val="minor"/>
      </rPr>
      <t xml:space="preserve">zasięg krajowy: </t>
    </r>
    <r>
      <rPr>
        <sz val="10"/>
        <rFont val="Calibri"/>
        <family val="2"/>
        <charset val="238"/>
        <scheme val="minor"/>
      </rPr>
      <t>Dożynki Prezydenckie Spała - ok. 10 000 osób</t>
    </r>
    <r>
      <rPr>
        <sz val="10"/>
        <color theme="1"/>
        <rFont val="Calibri"/>
        <family val="2"/>
        <charset val="238"/>
        <scheme val="minor"/>
      </rPr>
      <t xml:space="preserve">, </t>
    </r>
    <r>
      <rPr>
        <i/>
        <sz val="10"/>
        <color theme="1"/>
        <rFont val="Calibri"/>
        <family val="2"/>
        <charset val="238"/>
        <scheme val="minor"/>
      </rPr>
      <t>zasięg lokalny/regionalny:</t>
    </r>
    <r>
      <rPr>
        <sz val="10"/>
        <color theme="1"/>
        <rFont val="Calibri"/>
        <family val="2"/>
        <charset val="238"/>
        <scheme val="minor"/>
      </rPr>
      <t xml:space="preserve"> </t>
    </r>
    <r>
      <rPr>
        <sz val="10"/>
        <rFont val="Calibri"/>
        <family val="2"/>
        <charset val="238"/>
        <scheme val="minor"/>
      </rPr>
      <t xml:space="preserve">Dożynki Archidiecezjalno-Wojewódzkie w Poznaniu - ok. 8000 osób </t>
    </r>
    <r>
      <rPr>
        <sz val="10"/>
        <color theme="1"/>
        <rFont val="Calibri"/>
        <family val="2"/>
        <charset val="238"/>
        <scheme val="minor"/>
      </rPr>
      <t>oraz 285 527 uczestników wydarzeń realizowanych przez partnerów KSOW</t>
    </r>
  </si>
  <si>
    <r>
      <t xml:space="preserve"> Komentarz: Monitor Wielkopolski, Nasza EuroProwincja - 21 publikacji/materiałów w prasie w ramach PK oraz 13 publikacji realizowanych przez partnerów KSOW (</t>
    </r>
    <r>
      <rPr>
        <i/>
        <sz val="10"/>
        <rFont val="Calibri"/>
        <family val="2"/>
        <charset val="238"/>
        <scheme val="minor"/>
      </rPr>
      <t xml:space="preserve">LGD "Puszcza Notecka" </t>
    </r>
    <r>
      <rPr>
        <sz val="10"/>
        <rFont val="Calibri"/>
        <family val="2"/>
        <charset val="238"/>
        <scheme val="minor"/>
      </rPr>
      <t xml:space="preserve">- mapka - "Współpraca wzbogaca", książeczka - "Obszar LGD Puszczy Noteckiej i jego walory turystyczno-historyczne szansą na rozwój"; </t>
    </r>
    <r>
      <rPr>
        <i/>
        <sz val="10"/>
        <rFont val="Calibri"/>
        <family val="2"/>
        <charset val="238"/>
        <scheme val="minor"/>
      </rPr>
      <t>WODR</t>
    </r>
    <r>
      <rPr>
        <sz val="10"/>
        <rFont val="Calibri"/>
        <family val="2"/>
        <charset val="238"/>
        <scheme val="minor"/>
      </rPr>
      <t xml:space="preserve"> - katalog - "Aplikacja doradcza EPSU - narzędzie wspierające innowacje i rozwój cyfrowy wielkopolskiej wsi - Jak korzystać z aplikacji?", ulotka - "Aplikacja doradcza EPSU - narzędzie wspierające innowacje i rozwój cyfrowy wielkopolskiej wsi", artykuł na stronie internetowej;</t>
    </r>
    <r>
      <rPr>
        <i/>
        <sz val="10"/>
        <rFont val="Calibri"/>
        <family val="2"/>
        <charset val="238"/>
        <scheme val="minor"/>
      </rPr>
      <t xml:space="preserve"> UAM</t>
    </r>
    <r>
      <rPr>
        <sz val="10"/>
        <rFont val="Calibri"/>
        <family val="2"/>
        <charset val="238"/>
        <scheme val="minor"/>
      </rPr>
      <t xml:space="preserve"> - książka w ramach serii Ekspertyzy i Raporty Instytutu Geografii Społeczno-Ekonomicznej i Gospodarki Przestrzennej UAM "Przestrzenny rozwój obszarów wiejskich - Zasady kształtowania przestrzeni wsi wielkopolskich"; </t>
    </r>
    <r>
      <rPr>
        <i/>
        <sz val="10"/>
        <rFont val="Calibri"/>
        <family val="2"/>
        <charset val="238"/>
        <scheme val="minor"/>
      </rPr>
      <t>Gmina Przemęt</t>
    </r>
    <r>
      <rPr>
        <sz val="10"/>
        <rFont val="Calibri"/>
        <family val="2"/>
        <charset val="238"/>
        <scheme val="minor"/>
      </rPr>
      <t xml:space="preserve"> - ulotka promocyjna - "Szparagi - złoto z ziemi - Smak Naszego Regionu", prospekt promocyjny - "Szparagi - zloto z ziemi - dni otwarte", książka dla dzieci - "Szparagi - złoto z ziemi" - "Zdrowa rodzinka Szparaga Szymka"; </t>
    </r>
    <r>
      <rPr>
        <i/>
        <sz val="10"/>
        <rFont val="Calibri"/>
        <family val="2"/>
        <charset val="238"/>
        <scheme val="minor"/>
      </rPr>
      <t xml:space="preserve">Stowarzyszenie "Dolina Noteci" </t>
    </r>
    <r>
      <rPr>
        <sz val="10"/>
        <rFont val="Calibri"/>
        <family val="2"/>
        <charset val="238"/>
        <scheme val="minor"/>
      </rPr>
      <t>- ulotka promująca działalność Stowarzyszenia "Dolina Noteci", 2 ogłoszenia w prasie; Ośrodek Kultury, Sportu i Aktywności Lokalnej w Miejskiej Górce - folder - "Ze spiżarni wiejskiej gospodyni do Unii"</t>
    </r>
  </si>
  <si>
    <t>Komentarz: Grune Woche, Wielkopolska Wielkanoc w Parlamencie Europejskim oraz 2 operacje Partnerów KSOW upubliczniane w Monitorze Wielkopolskim (również w formie elektronicznej), Wyjazd studyjny do Rumunii, szkolenie dotyczące możliwości realizacji przedsięwzięć w ramach PROW 2014-2020 oraz aktywizacji mieszkańców obszarów wiejskich-Forum Kobiet oraz 11 dobrych praktyk Partnerów KSOW upubliczniane w Biuletynie Nasza EuroPROWincja (również w formie elektronicznej); sposób dystrybucji uszczegółowiono w części opisowej sprawozdania w punkcie dotyczącym Efektów realizacji zadań z zakresu informowania o Programie</t>
  </si>
  <si>
    <t>Komentarz: Grupa Robocza ds. KSOW - 1 posiedzenie i 6 posiedzeń obiegowych</t>
  </si>
  <si>
    <t>Komentarz: Grupa Robocza ds. KSOW - 1 posiedzenie (kwiecień) i 6 posiedzeń obiegowych (styczeń, 2 x luty, marzec, lipiec, sierpień)</t>
  </si>
  <si>
    <t>Komentarz: Szkolenie dotyczące możliwości realizacji przedsięwzięć w ramach PROW 2014-2020 oraz aktywizacji mieszkańców obszarów wiejskich-Forum Kobiet, Szkolenie dla LGD z poddziałania 19.2 i 19.4, Szkolenie dla partnerów KSOW nt. konkursu nr 2/2018 oraz Szkolenie dla beneficjentów i potencjalnych beneficjentów nt. naboru wniosków na operacje typu "Inwestycje w obiekty pełniące funkcje kulturalne", operacje typu "Kształtowanie przestrzeni publicznej" oraz operacje typu "Ochrona zabytków i budownictwa tradycyjnego" w ramach działania "Podstawowe usługi i odnowa wsi na obszarach wiejskich", Konferencja szkoleniowa dla sołtysów Województwa Wielkopolskiego; 26 szkoleń, 10 warsztatów, 4 seminaria (ujęto jako inne) oraz 14 wyjazdów studyjnych realizowanych przez partnerów KSOW oraz 3 wyjazdy studyjne realizowane przez JR KSOW woj. wlkp. (do Brukseli dzień Św. Marcina, do Brukseli Wielkopolska Wielkanoc w Parlamencie Europejskim, do regionu partnerskiego Sibiu w Rumunii)</t>
  </si>
  <si>
    <r>
      <t xml:space="preserve">Komentarz: </t>
    </r>
    <r>
      <rPr>
        <sz val="10"/>
        <rFont val="Calibri"/>
        <family val="2"/>
        <charset val="238"/>
        <scheme val="minor"/>
      </rPr>
      <t>Szkolenie dotyczące możliwości realizacji przedsięwzięć w ramach PROW 2014-2020 oraz aktywizacji mieszkańców obszarów wiejskich-Forum Kobiet - 91 osób (w tym 10 z UMWW)</t>
    </r>
    <r>
      <rPr>
        <sz val="10"/>
        <color theme="1"/>
        <rFont val="Calibri"/>
        <family val="2"/>
        <charset val="238"/>
        <scheme val="minor"/>
      </rPr>
      <t xml:space="preserve">, Szkolenie dla LGD z poddziałania 19.2 i 19.4 - 56 osób (w tym 12 z UMWW-pracownicy), Szkolenie dla partnerów KSOW nt. konkursu nr 2/2018 - 59 osób (w tym 10 z UMWW-pracownicy) oraz </t>
    </r>
    <r>
      <rPr>
        <sz val="10"/>
        <rFont val="Calibri"/>
        <family val="2"/>
        <charset val="238"/>
        <scheme val="minor"/>
      </rPr>
      <t xml:space="preserve">Szkolenie dla beneficjentów i potencjalnych beneficjentów nt. naboru wniosków na operacje typu "Inwestycje w obiekty pełniące funkcje kulturalne", operacje typu "Kształtowanie przestrzeni publicznej" oraz operacje typu "Ochrona zabytków i budownictwa tradycyjnego" w ramach działania "Podstawowe usługi i odnowa wsi na obszarach wiejskich" - 275 osób (w tym 13 z UMWW), Konferencja szkoleniowa dla sołtysów Województwa Wielkopolskiego - 240 osób (w tym 8 z UMWW), </t>
    </r>
    <r>
      <rPr>
        <sz val="10"/>
        <color theme="1"/>
        <rFont val="Calibri"/>
        <family val="2"/>
        <charset val="238"/>
        <scheme val="minor"/>
      </rPr>
      <t>szkolenia/warsztaty, seminaria oraz wyjazdy studyjne organizowane przez partnerów KSOW - 2353 osób oraz 3 wyjazdy studyjne realizowane przez JR KSOW woj. wlkp. (do Brukseli dzień Św. Marcina - 21 osób - w tym 6 pracowników UMWW, do Brukseli Wielkopolska Wielkanoc w Parlamencie Europejskim - 340 osób - w tym 36 pracowników UMWW, do regionu partnerskiego Sibiu w Rumunii - 78 osób - w tym 12 pracowników UMWW)</t>
    </r>
  </si>
  <si>
    <t>ujęto operacje Partnerów KSOW-całościowo, operacje własne JR, w tym materiały promocyjne (drukowane + gadżety)</t>
  </si>
  <si>
    <t>ujęto publikacje własne JR (Monitor, Biuletyn, prasa); publikacje Partnerów KSOW ujęto w wydarzeniach</t>
  </si>
  <si>
    <t>Grupę Roboczą ds. KSOW ujęto ilościowo w tabeli 4.1 oraz finansowo w kosztach funkcjonowania (tab. 8, pkt. 2)</t>
  </si>
  <si>
    <r>
      <t xml:space="preserve">ujęto: </t>
    </r>
    <r>
      <rPr>
        <sz val="10"/>
        <rFont val="Calibri"/>
        <family val="2"/>
        <charset val="238"/>
        <scheme val="minor"/>
      </rPr>
      <t>wynagrodzenia pracowników</t>
    </r>
    <r>
      <rPr>
        <sz val="10"/>
        <color theme="1"/>
        <rFont val="Calibri"/>
        <family val="2"/>
        <scheme val="minor"/>
      </rPr>
      <t>, przetransportowanie wikliny, delegacje w ramach II Schematu PT PROW 2014-2020, zakup: 2 roll-upów, aparatu, ulotek, biletów lotniczych do Sibiu, uczestnictwo pracownika w posiedzeniu komisji konkursu "Fundusz Sołecki - najlepsza inicjatywa", udział pracownika w związku z udziałem w spotkaniu dot. Perspektywy działalności KSOW zorganizowanym przez Jednostkę Centralną KSOW - CDR w Brwinowie, Grupę Roboczą ds. KSOW</t>
    </r>
  </si>
  <si>
    <t xml:space="preserve">Komentarz: Imprezy masowe, na których istnieje duże prawdopodobieństwo udziału 
w wydarzeniu innych jednostek sieci: Dożynki prezydenckie w Spale. Impreza o zasięgu krajowym: Targi Smaki Regionów w Poznaniu. </t>
  </si>
  <si>
    <t xml:space="preserve"> Komentarz:W kolumnie "inne" wskazano artykuł promocyjny w prasie regionalnej dot. PROW/KSOW </t>
  </si>
  <si>
    <t>Komentarz: Wojewódzka Grupa Robocza ds. KSOW zajmuje się opiniowaniem projektów uchwał dotyczących całego zakresu działań KSOW.</t>
  </si>
  <si>
    <t>Jednostka wdrażająca: JR KSOW Województwa Małopolskiego</t>
  </si>
  <si>
    <t>Komentarz: Szkolenia dla LGD (5), wyjazd studyjny (1) dla LGD do Portugalii, 7 szkoleń dla benefucjentów PROW i 4 spotkania z beneficjentami. Posiedzenia Małopolskiej Grupy Roboczej i opiniowanie dok. w trybie obiegowym. Projekty partnerów KSOW: 1."Gospodarstwa rodzinne wobec wyzwań zrónoważonego rozwoju" - organizacja konferencji oraz dwóch wyjazdów studyjnych. 2. "Wykorzystanie lokalnych zasobów naturalnych oraz tradycji w funkcjonowaniu gospodarstw rolnych krajów Europy Wschodniej" - wyjazd studyjny. 3. Kuźnia sturt-upów" - 2 szkolenia oraz konkurs na spotkaniu podsumowującym. 4. "Wykorzystanie zasobów lokalnych szansą na rozwój Małoposli Zachodniej" - dwie konferencje i trzy wyjazdy studyjne.5. "Promocja i rozwój klastra energii ZPT poprzez stworzenie modelu energetyki rozproszonej" - 1 wyjazd studyjny, 16 spotkań informacyjnych, 1 konferencja. 6. "Gospodarstwo opiekuńcze w rozwoju obszarów wiejskich - wyjazd studyjny. 7. Konkurs "Produkt Lokalny Podbabiogórza". 8. "Po naukę i doświadczenia w zakresie produkcji do Mołdawii" - wyjazd studyjny. 9. Żywność od rolnika na lokalnym rynku - francuskie doświadczenia dla doskonalenia polskiej rzeczywistości" - wyjazd studyjny. 10. Dobre praktyki w uprawie winorośli i produkcji wina" - wyjazd studyjny. 11. "Europejskie przykłady porozumień rolników w zakresie sprzedaży bezpośredniej" - wyjazd studyjny.</t>
  </si>
  <si>
    <t>Komentarz: Uczestnicy szkoleń/spotkań i wyjazdu studyjnego zorganizowanych przez JR KSOW oraz uczestnicy projektów partnerów KSOW.</t>
  </si>
  <si>
    <t xml:space="preserve"> Komentarz: Publikacje - broszury, foldery, ulotki i jedna ekspertyza wydane przez partnerów KSOW w ramach następujących projektów: 1. "Gospodarstwa rodzinne wobec wyzwań zrównoważonego rozwoju". 2. "Wykorzystanie lokalnych zasobów naturalnych oraz tradycji w funkcjonowaniu gospodarstw rolnych krajów Europy Wschodniej".3. "Wykorzystanie zasobów lokalnych szansą na rozwój Małoposli Zachodniej". 4. "Promocja i rozwój klastra energii ZPT poprzez stworzenie modelu energetyki rozproszonej". 5. "Europejskie przykłady porozumień rolników w zakresie sprzedaży bezpośredniej".</t>
  </si>
  <si>
    <t>Komentarz: Dwa posiedzenia Małopolskiej Grupy Roboczej oraz opiniowanie dokumentów w trybie obiegowym (3).</t>
  </si>
  <si>
    <t>Komentarz: Konsultacje z partnerami KSOW dotyczące konkursu 2/2018 - 2 spotkania konsultacyjne.</t>
  </si>
  <si>
    <t>Komentarz: Łączna liczba uczestników spotkań konsultacyjnych dotyczących konkursu 2/2018 dla partnerów KSOW. Łączna liczba uczestników na dwóch posiedzeniach WGR i trzech posiedzeniach w trybie obiegowym.</t>
  </si>
  <si>
    <t>Komentarz: Szkolenia dla LGD (5), wyjazd studyjny (1) dla LGD do Portugalii, 7 szkoleń dla benefucjentów PROW i 4 spotkania z beneficjentami. Projekty partnerów KSOW: 1."Gospodarstwa rodzinne wobec wyzwań zrónoważonego rozwoju" - organizacja konferencji oraz dwóch wyjazdów studyjnych. 2. "Wykorzystanie lokalnych zasobów naturalnych oraz tradycji w funkcjonowaniu gospodarstw rolnych krajów Europy Wschodniej" - wyjazd studyjny. 3. Kuźnia sturt-upów" - 2 szkolenia oraz spotkanie podsumowujące. 4. "Wykorzystanie zasobów lokalnych szansą na rozwój Małoposli Zachodniej" - dwie konferencje i trzy wyjazdy studyjne.5. "Promocja i rozwój klastra energii ZPT poprzez stworzenie modelu energetyki rozproszonej" - 1 wyjazd studyjny, 16 spotkań informacyjnych, 1 konferencja. 6. "Gospodarstwo opiekuńcze w rozwoju obszarów wiejskich - wyjazd studyjny. 7. "Po naukę i doświadczenia w zakresie produkcji do Mołdawii" - wyjazd studyjny. 8. Żywność od rolnika na lokalnym rynku - francuskie doświadczenia dla doskonalenia polskiej rzeczywistości" - wyjazd studyjny. 9. Dobre praktyki w uprawie winorośli i produkcji wina" - wyjazd studyjny. 10. "Europejskie przykłady porozumień rolników w zakresie sprzedaży bezpośredniej" - wyjazd studyjny.</t>
  </si>
  <si>
    <t xml:space="preserve">Komentarz: Szkolenia dla LGD (5), wyjazd studyjny (1) dla LGD do Portugalii, 7 szkoleń dla benefucjentów PROW i 4 spotkania z beneficjentami. Projekty partnerów KSOW: 1."Gospodarstwa rodzinne wobec wyzwań zrónoważonego rozwoju" - organizacja konferencji oraz dwóch wyjazdów studyjnych. 2. "Wykorzystanie lokalnych zasobów naturalnych oraz tradycji w funkcjonowaniu gospodarstw rolnych krajów Europy Wschodniej" - wyjazd studyjny. 3. Kuźnia sturt-upów" - 2 szkolenia oraz konkurs na spotkaniu podsumowującym. 4. "Wykorzystanie zasobów lokalnych szansą na rozwój Małoposli Zachodniej" - dwie konferencje i trzy wyjazdy studyjne.5. "Promocja i rozwój klastra energii ZPT poprzez stworzenie modelu energetyki rozproszonej" - 1 wyjazd studyjny, 16 spotkań informacyjnych, 1 konferencja. 6. "Gospodarstwo opiekuńcze w rozwoju obszarów wiejskich - wyjazd studyjny. 7. "Po naukę i doświadczenia w zakresie produkcji do Mołdawii" - wyjazd studyjny. 8. Żywność od rolnika na lokalnym rynku - francuskie doświadczenia dla doskonalenia polskiej rzeczywistości" - wyjazd studyjny. 9. Dobre praktyki w uprawie winorośli i produkcji wina" - wyjazd studyjny. 10. "Europejskie przykłady porozumień rolników w zakresie sprzedaży bezpośredniej" - wyjazd studyjny. Uczestnikami byli: przedstawiciele LGD, jst, rolnicy, winiarze,  potencjalni beneficjenci PROW 2014-2020.                                                                                                </t>
  </si>
  <si>
    <t>Inne działania:  Zdjęcia projektów zrealizowanych w ramach PROW 2014-2020. Audycjja TV w ramach projektu partnera KSOW oraz spot radiowy w ramach projektu partnera KSOW. Do kosztów funkcjonowania zaliczono dwa posiedzenia Małopolskiej Grupy Roboczej (790,00).</t>
  </si>
  <si>
    <r>
      <rPr>
        <b/>
        <sz val="10"/>
        <color theme="1"/>
        <rFont val="Calibri"/>
        <family val="2"/>
        <charset val="238"/>
        <scheme val="minor"/>
      </rPr>
      <t>Plan komunikacyjny, PRIORYTET 6:</t>
    </r>
    <r>
      <rPr>
        <sz val="10"/>
        <color theme="1"/>
        <rFont val="Calibri"/>
        <family val="2"/>
        <charset val="238"/>
        <scheme val="minor"/>
      </rPr>
      <t xml:space="preserve"> Warsztaty dla przedstwicieli JST dotyczące ralizacji operacji w ramach działań delegowanych PROW 2014-2020- 28.11.2018 rok - Wrocław, Warsztaty dla LGD- 04.12.2018 rok - Wrocław. </t>
    </r>
    <r>
      <rPr>
        <b/>
        <sz val="10"/>
        <color theme="1"/>
        <rFont val="Calibri"/>
        <family val="2"/>
        <charset val="238"/>
        <scheme val="minor"/>
      </rPr>
      <t>OPERACJE PARTNERÓW KSOW</t>
    </r>
    <r>
      <rPr>
        <sz val="10"/>
        <color theme="1"/>
        <rFont val="Calibri"/>
        <family val="2"/>
        <charset val="238"/>
        <scheme val="minor"/>
      </rPr>
      <t xml:space="preserve">: PRIORYTET 1: 1. III Konferencja Naukowa "Agrotechniczne aspekty uprawy winorośli i jakości wina w Polsce", Winnica - Technologia - Enologia - Zdrowie; 2. Pomysł na sukces - wymiana wiedzy  i doświadczeń pomiędzy partnerami KSOW; 3. Święto Sera i Wina. Spotkanie Regionów; 4. Podejmowanie inicjatyw środowiska wiejskiego w Gminie Radków poprzez uzyskanie umiejętności i kwalifikacji w zakresie przetwarzania produktów rolniczych. PRIORYTET 2: 5. XXIII Regionalna Wystawa Zwierząt Hodowlanych Książ 2018; PRIORYTET 3: 6. Realizacja audycji telewizyjnej pt. "Zrób to ze smakiem"; 7. Rolnictwo wspierane społecznie - badanie szans rozwoju małych gospodarstw rolnych na Dolnym Śląsku w aspekcie produkcji  żywności wysokiej jakości; PRIORYTET 6: 8. Włączenie społeczne poprzez realizację  Festiwalu Ducha Góra; </t>
    </r>
    <r>
      <rPr>
        <b/>
        <sz val="10"/>
        <color theme="1"/>
        <rFont val="Calibri"/>
        <family val="2"/>
        <charset val="238"/>
        <scheme val="minor"/>
      </rPr>
      <t xml:space="preserve">OPERACJE WŁASNE JR KSOW: </t>
    </r>
    <r>
      <rPr>
        <sz val="10"/>
        <color theme="1"/>
        <rFont val="Calibri"/>
        <family val="2"/>
        <charset val="238"/>
        <scheme val="minor"/>
      </rPr>
      <t xml:space="preserve">PRIORYTET 1,2,3 (mieszane): 1. Międzynarodowa konferencja nt. promocji produktów regionalnych; 2. Szkolenie pt. Poprawienie zdrowotności dolnośląskich pasiek pszczelich; PRIORYTET 2, 6 (mieszane): 3. Prezentacje Tradycyjnych Stołów Wielkanocnych, Palm i Pisanek we Wrocławiu; 4. Targi Naturalnej Żywności Natura Food w Łodzi; 5. Targi Smaki Regionów w Poznaniu; 6. Prezentacje  Tradycyjnych Stołów Wigilijnych we Wrocławiu; PRIORYTET 3 i 6 (mieszane): 7. Konkurs wojewódzki  "Nasze Kulinarne Dziedzictwo - Smaki Regionów"; PRIORYTET 6: 8. Konkurs "Piękna Wieś Dolnośląska"; </t>
    </r>
    <r>
      <rPr>
        <b/>
        <sz val="10"/>
        <color theme="1"/>
        <rFont val="Calibri"/>
        <family val="2"/>
        <charset val="238"/>
        <scheme val="minor"/>
      </rPr>
      <t>UWAGA:</t>
    </r>
    <r>
      <rPr>
        <sz val="10"/>
        <color theme="1"/>
        <rFont val="Calibri"/>
        <family val="2"/>
        <charset val="238"/>
        <scheme val="minor"/>
      </rPr>
      <t xml:space="preserve"> 1. Zasięg krajowy wśród imprez masowych dotyczy Targów Naturalnej Żywności Natura FOOD oraz Targów Smaki Regionów w Poznaniu; w pozostałych przypadkach wskazano zasięg lokalny/regionalny; 2. Koszty publikacji są wskazane na końcu tabeli w wierszu 168 - w tym związane z narzędziami komunikacji; 3. Do imprez masowych zaliczono targi, wystawy, festyny, tj. 6 operacji, w tym 4 własne i 2 partnerskie</t>
    </r>
  </si>
  <si>
    <r>
      <rPr>
        <b/>
        <sz val="10"/>
        <color theme="1"/>
        <rFont val="Calibri"/>
        <family val="2"/>
        <charset val="238"/>
        <scheme val="minor"/>
      </rPr>
      <t>Plan komunikacyjny</t>
    </r>
    <r>
      <rPr>
        <sz val="10"/>
        <color theme="1"/>
        <rFont val="Calibri"/>
        <family val="2"/>
        <charset val="238"/>
        <scheme val="minor"/>
      </rPr>
      <t xml:space="preserve">: Warsztaty dla przedstwicieli JST dotyczące ralizacji operacji w ramach działań delegowanych PROW 2014-2020 - 106 uczestników; </t>
    </r>
    <r>
      <rPr>
        <b/>
        <sz val="10"/>
        <color theme="1"/>
        <rFont val="Calibri"/>
        <family val="2"/>
        <charset val="238"/>
        <scheme val="minor"/>
      </rPr>
      <t>OPERACJE PARTNERÓW KSOW</t>
    </r>
    <r>
      <rPr>
        <sz val="10"/>
        <color theme="1"/>
        <rFont val="Calibri"/>
        <family val="2"/>
        <charset val="238"/>
        <scheme val="minor"/>
      </rPr>
      <t xml:space="preserve">: 1. III Konferencja Naukowa "Agrotechniczne aspekty uprawy winorośli i jakości wina w Polsce", Winnica - Technologia - Enologia - Zdrowie - 1 szkolenie/warsztat/seminarium, 30 uczestników, 1 konferencja, 80 uczestników, razem 110 uczestników; 2. Pomysł na sukces - wymiana wiedzy  i doświadczeń pomiędzy partnerami KSOW- 2 wyjazdy studyjne, 126 uczestników; 3. Święto Sera i Wina. Spotkanie Regionów - 3 szkolenia/warsztaty/seminaria, 92 uczestników; 4. Podejmowanie inicjatyw środowiska wiejskiego w Gminie Radków poprzez uzyskanie umiejętności i kwalifikacji w zakresie przetwarzania produktów rolniczych - 2 szkolenia/warsztaty/seminaria, 32 uczestników, 1 wyjazd studyjny, 30 uczestników, w sumie 62 uczestników; 5. XXIII Regionalna Wystawa Zwierząt Hodowlanych Książ 2018 - ok. 5 000 odwiedzających; 6. Realizacja audycji telewizyjnej pt. "Zrób to ze smakiem" - zrealizowano 10 audycji; 7. Rolnictwo wspierane społecznie - badanie szans rozwoju małych gospodarstw rolnych na Dolnym Śląsku w aspekcie produkcji  żywności wysokiej jakości - 1 konferencja, 73 uczestników; 8. Włączenie społeczne poprzez realizację  Festiwalu Ducha Góra - 11 szkoleń/warsztatów/seminariów, 449 uczestników; </t>
    </r>
    <r>
      <rPr>
        <b/>
        <sz val="10"/>
        <color theme="1"/>
        <rFont val="Calibri"/>
        <family val="2"/>
        <charset val="238"/>
        <scheme val="minor"/>
      </rPr>
      <t>OPERACJE WŁASNE JR KSOW:</t>
    </r>
    <r>
      <rPr>
        <sz val="10"/>
        <color theme="1"/>
        <rFont val="Calibri"/>
        <family val="2"/>
        <charset val="238"/>
        <scheme val="minor"/>
      </rPr>
      <t xml:space="preserve"> 1. Międzynarodowa konferencja nt. promocji produktów regionalnych - 80 uczestników; 2. Szkolenie pt. Poprawienie zdrowotności dolnośląskich pasiek pszczelich - 40 uczestników; 3. Prezentacje Tradycyjnych Stołów Wielkanocnych, Palm i Pisanek we Wrocławiu - 26 wystawców, ok. 2 000 odwiedzających; 4. Targi Naturalnej Żywności Natura Food w Łodzi - 6 wystawców, ok. 12 000 odwiedzających; 5. Targi Smaki Regionów w Poznaniu - 8 wystawców, ok. 60 000 odwiedzających; 6. Prezentacje  Tradycyjnych Stołów Wigilijnych we Wrocławiu - 26 wystawców, ok. 2 000 odwiedzających;  7. Konkurs wojewódzki  "Nasze Kulinarne Dziedzictwo - Smaki Regionów" - 26 uczestników,; 8. Konkurs "Piękna Wieś Dolnośląska" - 20 uczestników. </t>
    </r>
    <r>
      <rPr>
        <b/>
        <sz val="10"/>
        <color theme="1"/>
        <rFont val="Calibri"/>
        <family val="2"/>
        <charset val="238"/>
        <scheme val="minor"/>
      </rPr>
      <t>UWAGA</t>
    </r>
    <r>
      <rPr>
        <sz val="10"/>
        <color theme="1"/>
        <rFont val="Calibri"/>
        <family val="2"/>
        <charset val="238"/>
        <scheme val="minor"/>
      </rPr>
      <t>: 1. w polu zasięg geograficzny lokalny/regionalny nie uwzględniono liczby odcinków audycji telewizyjnej zrealizowanej przez partnera KSOW. 2. W polu zasięg geograficzny imprezy masowe uwzględniono 6 wydarzenń targowych/wystaw/festynów, tj. operacje partnerów KSOW: Święto Sera i Wina. Spotkanie Regionów, XXIII Regionalna Wystawa Zwierząt Hodowlanych Książ 2018; Operacje własne:  Prezentacje Tradycyjnych Stołów Wielkanocnych, Palm i Pisanek we Wrocławiu, Targi Naturalnej Żywności Natura FOOD w Łodzi i Targi Smaki Regionów w Poznaniu, Prezentacje  Tradycyjnych Stołów Wigilijnych we Wrocławiu</t>
    </r>
  </si>
  <si>
    <t>Jednostka wdrażająca: Centrum Doradztwa Rolniczego w Brwinowie (SIR)</t>
  </si>
  <si>
    <t>Stan na: 31.12.2018 roku</t>
  </si>
  <si>
    <t xml:space="preserve"> Komentarz:
1.  „Działanie Współpraca” wspierające wdrażanie innowacyjnych rozwiązań w rolnictwie (publikacja w formie broszury; koszt poniesiony: planowany 20000,00 zł, faktyczny: 26527,00 zł - spowodowany rozszerzeniem zakresu tematycznego, za czym idzie zwiększenie liczby stron broszury);
2. Publikacja 15 artykułów w ramach operacji pn. Współczesne wyzwania gospodarki wodnej na obszarach wiejskich" (koszt poniesiony: 9225,00);
3. Broszura w ramach operacji pn. Budowanie sieci partnerstw w celu wdrażania innowacji w zakresie wprowadzania do obrotu żywności wysokiej jakości (koszt poniesiony: 3690,00 zł)</t>
  </si>
  <si>
    <t>Komentarz:
Konsultacje/wsparcie dla potencjalnych grup operacyjnych EPI ws działania "Współpraca"</t>
  </si>
  <si>
    <t>Komentarz:
w związku z brakiem list obecności lub innych dokumentów, dzięki którym można wskazać liczbę biorących udział w konsultacjach ws dz. Współpraca, przyjmuje się, że każde spotkanie było organizowane dla minimum 2 osób  (91x2)</t>
  </si>
  <si>
    <t>Komentarz:
• Przekazywanie do Punktu Kontaktowego EIP-AGRI informacji na temat działających w Polsce Grup Operacyjnych EPI w formie 4 informacji mailowych</t>
  </si>
  <si>
    <t>Komentarz:
rozpowszechnione 12 newsletter'ów (publikacji EIP-AGRI)</t>
  </si>
  <si>
    <t xml:space="preserve">Koszty funkcjonowania: 
- wynagrodzenia pracowników realizujących zadania na rzecz SIR, w tym umowy o pracę i zlecenia;
- utrzymanie biura, w tym najem powierzchni biurowej, media, sprzątanie;
- materiały biurowe, w tym m.in. Tonery, papier, mat. Piśmiennicze; 
- wyposarzenie biura, w tym meble, sprzęt komputerowy itp.;
- wyjazdy służbowe krajowe i zagraniczne;
- koszty związane z organizacją szkoleń dla pracowników SIR oraz innych wspierających zadania SIR (WODR i CDR);
- kursy językowe, kurs podstawowy Pzp;
- utrzymanie samochodu (koszty najmu, paliwo, płyny, myjnia);
- koszty związane z organizacją stoisk na wystawach/targach;
- usł. pocztowe, telekomunikacyjne, internetowe;
- transportowe;
- dzierżawa urządzenia wielofunkcyjnego;
- koszty badań wstępnych, okresowych i kontrolnych pracowników oraz zwrot kosztów zakupu szkieł korekcyjnych do pracy przy monitorze </t>
  </si>
  <si>
    <t xml:space="preserve">Stan na: 31.12.2018 </t>
  </si>
  <si>
    <t>Jednostka wdrażająca: Kujawsko-Pomorski Ośrodek Doradztwa Rolniczego w Minikowie</t>
  </si>
  <si>
    <t>1. "Wspieranie procesu tworzenia partnerstw na rzecz innowacji w serowarstwie":
- dwa szkolenia pn. "Od mleka do sera - krótkie łańcuchy dostaw" - Minikowo, 24 i 25.04.2018 r.,
- dwa warsztaty pn. "Tworzenie grup operacyjnych" - Minikowo, 30.05.2018 r. oraz 6.06.2018 r.,
- wyjazd studyjny pn. "Od teorii do praktyki w farmerskiej produkcji sera" - Rozogi (Zajazd Tusinek Grzegorz Winiarek), Lidzbark Warmiński ("Agrovis" sp. j.), 18-21.06.2018 r.,
- konferencja pn. „Współpraca i innowacja drogą do sukcesu w farmerskiej produkcji sera" - Minikowo, 06.10.2018 r..
2. "Wymogi środowiskowe a dochodowość gospodarstw mlecznych":
- wyjazd studyjny "Wymogi środowiskowe i innowacyjne rozwiązania w produkcji mleka a dochodowość gospodarstw mlecznych" - Aleksandrów (Firma „Mróz), Lubiń (Sano Agrar Institut), 22-23.05.2018 r.,
- konferencja pn. "Wymogi środowiskowe i innowacyjne rozwiązania w produkcji mleka a dochodowość gospodarstw mlecznych" - Przysiek, 29.10.2018 r.,
- dwa warsztaty pn. "Robotyzacja obór a dochodowość gospodarstw mlecznych" - Kawęcin (Gospodarstwo Hendripol sp. z o.o.) 19.06.2018 r.i 21.06.2018 r.
3. "Poprawa opłacalności produkcji żywca wołowego":
- konferencja pn. "Poprawa opłacalności produkcji żywca wołowego" - Strzygi, 5.07.2018 r.,
- warsztaty pn. "Tworzymy grupę operacyjną" - Wąpielsk, 6.07.2018 r.
4. "Innowacyjna produkcja zwierzęca na terenie województwa kujawsko-pomorskiego. Zwiększenie udziału wysokobiałkowych komponentów paszowych pochodzenia krajowego, w tym śruty rzepakowej, w produkcji mleka, trzody chlewnej oraz bydła opasowego” akronim INNOWACYJNE BIAŁKO":
- trzy seminaria tematyczne: 1. dla producentów bydła opasowego, Minikowo, 10.09.2018 r., 2. dla producentów mleka, Minikowo, 10.09.2018 r.,
  3. dla producentów trzody chlewnej, Minikowo, 11.09.2018 r.,
- konferencja dla producentów bydła opasowego, mleka i trzody chlewnej, Minikowo, 4.10.2018 r.
5. Stoisko informacyjne SIR podczas imprezy wystawienniczo-targowej Dni Otwartych Drzwi w Zarzeczewie (9-10.06.2018 r.).</t>
  </si>
  <si>
    <r>
      <t>1. "Wspieranie procesu tworzenia partnerstw na rzecz innowacji w serowarstwie":
- dwa szkolenia pn. "Od mleka do sera - krótkie łańcuchy dostaw" - Minikowo, 24 i 25.04.2018 r. (łącznie  34 osoby),
- dwa warsztaty pn. "Tworzenie grup operacyjnych" - Minikowo, 30.05.2018 r. oraz 6.06.2018 r. (łącznie 62 osoby),
- wyjazd studyjny pn. "Od teorii do praktyki w farmerskiej produkcji sera" - Rozogi (Zajazd Tusinek Grzegorz Winiarek), Lidzbark Warmiński ("Agrovis" sp. j.), 18-21.06.2018 r. (15 osób),
- konferencja pn. „Współpraca i innowacja drogą do sukcesu w farmerskiej produkcji sera" - Minikowo, 06.10.2018 r. (62 osoby).
2. "Wymogi środowiskowe a dochodowość gospodarstw mlecznych":
- wyjazd studyjny "Wymogi środowiskowe i innowacyjne rozwiązania w produkcji mleka a dochodowość gospodarstw mlecznych" - Aleksandrów (Firma „Mróz), Lubiń (Sano Agrar Institut), 22-23.05.2018 r. (50 osób),
- konferencja pn. "Wymogi środowiskowe i innowacyjne rozwiązania w produkcji mleka a dochodowość gospodarstw mlecznych" - Przysiek, 29.10.2018 r. (50 osób),
- dwa warsztaty pn. "Robotyzacja obór a dochodowość gospodarstw mlecznych" - Kawęcin (Gospodarstwo Hendripol sp. z o.o.) 19.06.2018 r. i 21.06.2018 r. (łącznie 44 osoby).
3. "Poprawa opłacalności produkcji żywca wołowego":
- konferencja pn. "Poprawa opłacalności produkcji żywca wołowego" - Strzygi, 5.07.2018 r.</t>
    </r>
    <r>
      <rPr>
        <sz val="10"/>
        <rFont val="Calibri"/>
        <family val="2"/>
        <charset val="238"/>
        <scheme val="minor"/>
      </rPr>
      <t xml:space="preserve"> (40 osób)</t>
    </r>
    <r>
      <rPr>
        <sz val="10"/>
        <color theme="1"/>
        <rFont val="Calibri"/>
        <family val="2"/>
        <charset val="238"/>
        <scheme val="minor"/>
      </rPr>
      <t xml:space="preserve">,
- warsztaty pn. "Tworzymy grupę operacyjną" - Wąpielsk, 6.07.2018 r. </t>
    </r>
    <r>
      <rPr>
        <sz val="10"/>
        <rFont val="Calibri"/>
        <family val="2"/>
        <charset val="238"/>
        <scheme val="minor"/>
      </rPr>
      <t>(35 osób).</t>
    </r>
    <r>
      <rPr>
        <sz val="10"/>
        <color theme="1"/>
        <rFont val="Calibri"/>
        <family val="2"/>
        <charset val="238"/>
        <scheme val="minor"/>
      </rPr>
      <t xml:space="preserve">
4. "Innowacyjna produkcja zwierzęca na terenie województwa kujawsko-pomorskiego. Zwiększenie udziału wysokobiałkowych komponentów paszowych pochodzenia krajowego, w tym śruty rzepakowej, w produkcji mleka, trzody chlewnej oraz bydła opasowego” akronim INNOWACYJNE BIAŁKO"
- trzy seminaria tematyczne: 1. dla producentów bydła opasowego, Minikowo, 10.09.2018 r., 2. dla producentów mleka, Minikowo, 10.09.2018 r., 3. dla producentów trzody chlewnej, Minikowo, 11.09.2018 r. (łącznie 76 osób),
- konferencja dla producentów bydła opasowego, mleka i trzody chlewnej, Minikowo, 4.10.2018 r. (100 osób).
5.  Stoisko informacyjne SIR podczas imprezy wystawienniczo-targowej Dni Otwartych Drzwi w Zarzeczewie (9-10.06.2018 r.) ok. 12 tys. osób odwiedzających.</t>
    </r>
  </si>
  <si>
    <t>W 2018 r. wydano:
a) dwie broszury:
   - "Wymogi środowiskowe i innowacyjne rozwiązania w produkcji mleka a dochodowość gospodarstw mlecznych” – 50 egz.
   - "Jak podnieść opłacalność produkcji żywca wołowego?" - 1000 egz.
b) ekspertyzę nt. "Ekonomiczne korzyści stosowania wysokobiałkowych komponentów paszowych pochodzenia krajowego (śruty rzepakowej i
innych roślin wysokobiałkowych) w żywieniu zwierząt" -1 egz.
Opublikowano także 10 artykułów dotyczących SIR w czasopismie branżowym miesięczniku wydawanym przez KPODR pt. "Wieś Kujawsko-Pomorska".</t>
  </si>
  <si>
    <r>
      <t>W 2018 r. przeprowadzono rozmowy i nawiązano współpracę, odbyło się 60</t>
    </r>
    <r>
      <rPr>
        <sz val="10"/>
        <color rgb="FFFF0000"/>
        <rFont val="Calibri"/>
        <family val="2"/>
        <charset val="238"/>
        <scheme val="minor"/>
      </rPr>
      <t xml:space="preserve"> </t>
    </r>
    <r>
      <rPr>
        <sz val="10"/>
        <color theme="1"/>
        <rFont val="Calibri"/>
        <family val="2"/>
        <charset val="238"/>
        <scheme val="minor"/>
      </rPr>
      <t>spotkań informacyjno-organizacyjnych, w których brały udział 372 osoby.
Przedstawiciele Ośrodka rozmawiali między innymi z:
Instytutem Ogrodnictwa w Skierniewicach, Instytutem Technologiczno-Przyrodniczym w Falentach Oddział w Bydgoszczy, UTP w Bydgoszczy, Przedsiębiorstwem Geofabryka Sp. z o.o. Toruń, Polską Akademia Nauk - Instytut Rozwoju Wsi i Rolnictwa, Zakładami Mięsnymi Kwiecińscy, Masarnią Zawistowscy, PN Rolnas, Instytutem Hodowli i Aklimatyzacji Roślin w Radzikowie, Hodowlą Ziemniaka Zamarte sp.  z o.o. – Grupa IHAR, "Wiśniewscy" spółka z o.o., Desio Holding sp. z o.o., IT Consulting Sebastian Szymanowski, GALSTER sp. z o.o., Lokalną Grupa Działania Sandry Brdy, Spółdzielczą Mleczarnią Spomlek, AGROPRAKTYK s.c., Polskim Zrzeszeniem Producentów Bydła Mięsnego, Kujawsko-Pomorskim Zrzeszeniem Hodowców Drobiu i Producentów Jaj, gospodarstwami drobiarskimi i sadowniczymi, hodowcami trzody chlewnej oraz rolnikami.
 Przystąpiono do przygotowania etapu organizacyjnego powołania grup operacyjnych, których celem będzie wdrożenie określonych innowacji:
1. "Soja w województwach kujawsko-pomorskim i wielkopolskim – innowacyjne rozwiązania w uprawie i skarmianiu dla gospodarstw rolnych".
2. "Innowacje w uprawie, przetwórstwie i wprowadzaniu na rynek pierwotnych form pszenic okrągło ziarnowej i perskiej o podwyższonej wartości odżywczej".
3. "Poprawa jakości owoców czereśni poprzez zastosowanie innowacyjnych osłon stałych".
4. „Innowacyjne modele współpracy rolników w ramach krótkich łańcuchów dostaw”.
5. "Kujawsko-Pomorska Wieprzowina, chów bez GMO".
6. "Innowacyjna rzodkiew".
7. "Gardena".
8. "Innowacyjne sady - Innowacje nawodnieniowe w gospodarstwach sadowniczych".
9. "Woda dla Kujaw".
10. "Innowacyjne Zielone Mleko".
11. "Dobra cebula".
12. "Budowa systemu powiązań w obszarze technologii odchowu cieląt oraz opasu końcowego".
13. "Bezpieczna Ferma".</t>
    </r>
  </si>
  <si>
    <t xml:space="preserve">W 2018 r. odbyło się 16 spotkań o charakterze szkoleniowym z rolnikami i przedstawicielami firm branży rolniczej, na których przedstawiono informacje o znaczeniu innowacji w rolnictwie i na obszarach wiejskich. Zorganizowano również dwa wyjazdy studyjne dot. farmerskiej produkcji sera oraz poprawy dochodowości gospodarstw mlecznych:
1. "Wspieranie procesu tworzenia partnerstw na rzecz innowacji w serowarstwie":
- dwa szkolenia pn. "Od mleka do sera - krótkie łańcuchy dostaw" - Minikowo, 24 i 25.04.2018 r. (2 dni),
- dwa warsztaty pn. "Tworzenie grup operacyjnych" - Minikowo, 30.05.2018 r. oraz 6.06.2018 r. (2 dni),
- wyjazd studyjny pn. "Od teorii do praktyki w farmerskiej produkcji sera" - Rozogi (Zajazd Tusinek Grzegorz Winiarek), Lidzbark Warmiński ("Agrovis" sp. j.), 18-21.06.2018 r. (4 dni),
- konferencja pn. „Współpraca i innowacja drogą do sukcesu w farmerskiej produkcji sera" - Minikowo, 06.10.2018 r. (1 dzień),
2. "Wymogi środowiskowe a dochodowość gospodarstw mlecznych":
- wyjazd studyjny "Wymogi środowiskowe i innowacyjne rozwiązania w produkcji mleka a dochodowość gospodarstw mlecznych" - Aleksandrów (Firma „Mróz), Lubiń (Sano Agrar Institut), 22-23.05.2018 r. (2 dni),
- konferencja pn. "Wymogi środowiskowe i innowacyjne rozwiązania w produkcji mleka a dochodowość gospodarstw mlecznych" - Przysiek, 29.10.2018 r. (1 dzień),
- dwa warsztaty pn. "Robotyzacja obór a dochodowość gospodarstw mlecznych" - Kawęcin (Gospodarstwo Hendripol sp. z o.o.) 19.06.2018 r. i 21.06.2018 r. (2 dni).
3. "Poprawa opłacalności produkcji żywca wołowego":
- konferencja pn. "Poprawa opłacalności produkcji żywca wołowego" - Strzygi, 5.07.2018 r. (1 dzień),
- warsztaty pn. "Tworzymy grupę operacyjną" - Wąpielsk, 6.07.2018 r. (1 dzień).
4. "Innowacyjna produkcja zwierzęca na terenie województwa kujawsko-pomorskiego. Zwiększenie udziału wysokobiałkowych komponentów paszowych pochodzenia krajowego, w tym śruty rzepakowej, w produkcji mleka, trzody chlewnej oraz bydła opasowego” akronim INNOWACYJNE BIAŁKO":
- trzy seminaria tematyczne: 1. dla producentów bydła opasowego, Minikowo, 10.09.2018 r., 2. dla producentów mleka, Minikowo, 10.09.2018 r.,
3. dla producentów trzody chlewnej, Minikowo, 11.09.2018 r. (łącznie 3 dni),
- konferencja dla producentów bydła opasowego, mleka i trzody chlewnej, Minikowo, 4.10.2018 r. (1 dzień).
</t>
  </si>
  <si>
    <r>
      <t xml:space="preserve">1. "Wspieranie procesu tworzenia partnerstw na rzecz innowacji w serowarstwie":
- dwa szkolenia pn. "Od mleka do sera - krótkie łańcuchy dostaw" - Minikowo, 24 i 25.04.2018 r. (łącznie  34 osoby),
- dwa warsztaty pn. "Tworzenie grup operacyjnych" - Minikowo, 30.05.2018 r. oraz 6.06.2018 r. (łącznie 62 osoby),
- wyjazd studyjny pn. "Od teorii do praktyki w farmerskiej produkcji sera" - Rozogi (Zajazd Tusinek Grzegorz Winiarek), Lidzbark Warmiński ("Agrovis" sp. j.), 18-21.06.2018 r. (15 osób),
- konferencja pn. „Współpraca i innowacja drogą do sukcesu w farmerskiej produkcji sera" - Minikowo, 06.10.2018 r. (62 osoby).
2. "Wymogi środowiskowe a dochodowość gospodarstw mlecznych":
- wyjazd studyjny "Wymogi środowiskowe i innowacyjne rozwiązania w produkcji mleka a dochodowość gospodarstw mlecznych" - Aleksandrów (Firma „Mróz), Lubiń (Sano Agrar Institut), 22-23.05.2018 r. (50 osób),
- konferencja pn. "Wymogi środowiskowe i innowacyjne rozwiązania w produkcji mleka a dochodowość gospodarstw mlecznych" - Przysiek, 29.10.2018 r. (50 osób),
- dwa warsztaty pn. "Robotyzacja obór a dochodowość gospodarstw mlecznych" - Kawęcin (Gospodarstwo Hendripol sp. z o.o.) 19.06.2018 r. i 21.06.2018 r. (łącznie 44 osoby).
3. "Poprawa opłacalności produkcji żywca wołowego":
- konferencja pn. "Poprawa opłacalności produkcji żywca wołowego" - Strzygi, 5.07.2018 r. </t>
    </r>
    <r>
      <rPr>
        <sz val="10"/>
        <rFont val="Calibri"/>
        <family val="2"/>
        <charset val="238"/>
        <scheme val="minor"/>
      </rPr>
      <t>(40 osób),</t>
    </r>
    <r>
      <rPr>
        <sz val="10"/>
        <color theme="1"/>
        <rFont val="Calibri"/>
        <family val="2"/>
        <charset val="238"/>
        <scheme val="minor"/>
      </rPr>
      <t xml:space="preserve">
- warsztaty pn. "Tworzymy grupę operacyjną" - Wąpielsk, 6.07.2018 r.</t>
    </r>
    <r>
      <rPr>
        <sz val="10"/>
        <color rgb="FFFF0000"/>
        <rFont val="Calibri"/>
        <family val="2"/>
        <charset val="238"/>
        <scheme val="minor"/>
      </rPr>
      <t xml:space="preserve"> </t>
    </r>
    <r>
      <rPr>
        <sz val="10"/>
        <rFont val="Calibri"/>
        <family val="2"/>
        <charset val="238"/>
        <scheme val="minor"/>
      </rPr>
      <t>(35 osób).</t>
    </r>
    <r>
      <rPr>
        <sz val="10"/>
        <color theme="1"/>
        <rFont val="Calibri"/>
        <family val="2"/>
        <charset val="238"/>
        <scheme val="minor"/>
      </rPr>
      <t xml:space="preserve">
4. "Innowacyjna produkcja zwierzęca na terenie województwa kujawsko-pomorskiego. Zwiększenie udziału wysokobiałkowych komponentów paszowych pochodzenia krajowego, w tym śruty rzepakowej, w produkcji mleka, trzody chlewnej oraz bydła opasowego” akronim INNOWACYJNE BIAŁKO"
- trzy seminaria tematyczne: 1. dla producentów bydła opasowego, Minikowo, 10.09.2018 r., 2. dla producentów mleka, Minikowo, 10.09.2018 r., 3. dla producentów trzody chlewnej, Minikowo, 11.09.2018 r. (łącznie 76 osób),
- konferencja dla producentów bydła opasowego, mleka i trzody chlewnej, Minikowo, 4.10.2018 r. (100 osób).</t>
    </r>
  </si>
  <si>
    <t>Środki na funkcjonowanie obejmują wynagrodzenia pracowników zajmujących się SIR (koordynatora i brokera). Pracownicy odpowiedzialni za realizację zadań SIR przez cały rok 2018 podnosili swoje kwalifikacje w zakresie wiedzy o SIR i działaniu „Współpraca”.
 W ramach ułatwiania tworzenia sieci kontaktów pomiędzy partnerami KSOW, a także promocji SIR zamieszczono 10 artykułów w  miesięczniku „Wieś Kujawsko-Pomorska” wydawanym przez Ośrodek oraz 16 artykułów/informacji na stronie www.kpodr.pl, w zakładce SIR, która na bieżąco jest aktualizowana. Ważnym elementem promocji SIR i podnoszenia poziomu wiedzy i umiejętności partnerów KSOW oraz podmiotów tworzących grupy operacyjne była organizacja i obsługa punktu informacyjno-promocyjnego. Informacje o działaniach Sieci na rzecz innowacji w rolnictwie i na obszarach wiejskich w województwie kujawsko-pomorskim przedstawiono w audycji dot. działania "Współpraca" - "To się opłaca!" na kanale TVP1.
W ramach wsparcia tworzenia i organizacji grup operacyjnych na rzecz innowacji oraz opracowania przez nie projektów broker zatrudniony w Ośrodku z pomocą koordynatora przeprowadził łącznie 60 spotkań w ramach działania „Współpraca” dla 372 osób. 
Przedstawiciele Ośrodka rozmawiali między innymi z:
Instytutem Ogrodnictwa w Skierniewicach, Instytutem Technologiczno-Przyrodniczym w Falentach Oddział w Bydgoszczy, UTP w Bydgoszczy, Przedsiębiorstwem Geofabryka Sp. z o.o. Toruń, Polską Akademia Nauk - Instytut Rozwoju Wsi i Rolnictwa, Zakładami Mięsnymi Kwiecińscy, Masarnią Zawistowscy, PN Rolnas, Instytutem Hodowli i Aklimatyzacji Roślin w Radzikowie, Hodowlą Ziemniaka Zamarte sp.  z o.o. – Grupa IHAR, "Wiśniewscy" spółka z o.o., Desio Holding sp. z o.o., IT Consulting Sebastian Szymanowski, GALSTER sp. z o.o., Lokalną Grupa Działania Sandry Brdy, Spółdzielczą Mleczarnią Spomlek, AGROPRAKTYK s.c., Polskim Zrzeszeniem Producentów Bydła Mięsnego, Kujawsko-Pomorskim Zrzeszeniem Hodowców Drobiu i Producentów Jaj, gospodarstwami drobiarskimi i sadowniczymi, hodowcami trzody chlewnej oraz rolnikami.  Przystąpiono do przygotowania etapu organizacyjnego powołania grup operacyjnych, których celem będzie wdrożenie określonych innowacji:
1. "Soja w województwach kujawsko-pomorskim i wielkopolskim – innowacyjne rozwiązania w uprawie i skarmianiu dla gospodarstw rolnych".
2. "Innowacje w uprawie, przetwórstwie i wprowadzaniu na rynek pierwotnych form pszenic okrągło ziarnowej i perskiej o podwyższonej wartości odżywczej".
3. "Poprawa jakości owoców czereśni poprzez zastosowanie innowacyjnych osłon stałych".
4. „Innowacyjne modele współpracy rolników w ramach krótkich łańcuchów dostaw”.
5. "Kujawsko-Pomorska Wieprzowina, chów bez GMO".
6. "Innowacyjna rzodkiew".
7. "Gardena".
8. "Innowacyjne sady - Innowacje nawodnieniowe w gospodarstwach sadowniczych".
9. "Woda dla Kujaw".
10. "Innowacyjne Zielone Mleko".
11. "Dobra cebula".
12. "Budowa systemu powiązań w obszarze technologii odchowu cieląt oraz opasu końcowego".
13. "Bezpieczna Ferma". Uczestniczono bezpośrednio w IV posiedzeniu Grupy Tematycznej ds. innowacji w rolnictwie i na obszarach wiejskich, a trzykrotnie brano udział w trybie obiegowym tej Grupy. Ponadto siedmiokrotnie brano udział w trybie obiegowym Kujawsko-Pomorskiej Grupy Roboczej ds. Krajowej Sieci Obszarów Wiejskich w celu akceptacji uchwał tej Grupy. W ramach realizacji czynności związanych z wdrażaniem Planu operacyjnego KSOW na lata 2018-2019 w zakresie SIR przygotowano 3 propozycje operacji własnych z Działania 5, które zostały pozytywnie rozpatrzone na IV posiedzeniu Grupy Tematycznej ds. innowacji w rolnictwie i na obszarach wiejskich, a następnie je zrealizowano. Przeprowadzono ocenę dwóch wniosków o wybór operacji pod kątem spełnienia wymagań formalnych oraz spełnienia warunków wyboru operacji w ramach konkursu nr 2/2018 dla Partnerów Krajowej Sieci Obszarów Wiejskich. Po zakończeniu ww. procedury wnioski przesłano do CDR w Brwinowie do dalszej oceny. Jeden z nich został rozpatrzony pozytywnie. Z Wnioskodawcą – Krajowym Zrzeszeniem Producentów Rzepaku i Roślin Białkowych w Warszawie zawarto umowę na realizację operacji pn. „Innowacyjna produkcja zwierzęca na terenie województwa kujawsko-pomorskiego. Zwiększenie udziału wysokobiałkowych komponentów paszowych pochodzenia krajowego, w tym śruty rzepakowej, w produkcji mleka, trzody chlewnej oraz bydła opasowego”, akronim INNOWACYJNE BIAŁKO, a następnie prowadzono nadzór nad prawidłową realizacją operacji. Stała współpraca, konsultacje, udzielanie odpowiedzi na wątpliwości Partnera dot. realizacji operacji oraz bieżące informowanie o pojawiających się zmianach pozwoliło na sprawne przygotowanie wniosku o przyznanie pomocy technicznej PROW 2014-2020.
Ośrodek złożył do centrali Agencji Restrukturyzacji i Modernizacji Rolnictwa  Wniosek o Przyznanie Pomocy Technicznej oraz 2 Wnioski o Płatność Pomocy Technicznej. Na dzień 31.12.2018 r. znajdują się one w ocenie.</t>
  </si>
  <si>
    <t>Jednostka wdrażająca: Lubelski Ośrodek Doradztwa Rolniczego w Końskowoli</t>
  </si>
  <si>
    <t>Stan na: 31-12-2018 r.</t>
  </si>
  <si>
    <t xml:space="preserve">Komentarz:
1. Stoiska promocyjne nośnikiem informacji o Sieci na rzecz innowacji w rolnictwie i na obszarach wiejskich - 2 stoiska
2. Wyjazd studyjny do Austrii jako działanie na rzecz tworzenia sieci kontaktów dla osób wdrażających innowacje na obszarach wiejskich - 1 wyjazd studyjny
3. Zakładanie plantacji winorośli. Uprawa winogran, produkcja wina, soków - alternatywą dla lubelskich rolników - 1 wyjazd studyjny
4. Współpraca szansą na rozwój innowacyjnych metod uprawy i przetwórstwa ziół na Lubelszczyźnie - konferencja
5. Wyjazd studyjny do Czech - innowacyjne wdrożenia oraz doświadczenia w organizacji grup operacyjnych wśród Czeskich sąsiadów - 1 wyjazd studyjny
6. Współpraca szansą na rozwój obszarów wiejskich poprzez innowacje - 5 seminariów
7. Innowacje w chowie i hodowli bydła mięsnego - konferencja
</t>
  </si>
  <si>
    <t>Komentarz:
1. Stoiska promocyjne nośnikiem informacji o Sieci na rzecz innowacji w rolnictwie i na obszarach wiejskich - 2 stoiska, 350 osób
2. Wyjazd studyjny do Austrii jako działanie na rzecz tworzenia sieci kontaktów dla osób wdrażających innowacje na obszarach wiejskich - 1 wyjazd studyjny, 4 dni,  35 osób
3. Zakładanie plantacji winorośli. Uprawa winogran, produkcja wina, soków - alternatywą dla lubelskich rolników - 1 wyjazd studyjny, 3 dni,  30 osób
4. Współpraca szansą na rozwój innowacyjnych metod uprawy i przetwórstwa ziół na Lubelszczyźnie - konferencja 80 osób
5. Wyjazd studyjny do Czech - innowacyjne wdrożenia oraz doświadczenia w organizacji grup operacyjnych wśród Czeskich sąsiadów - 1 wyjazd studyjny, 3 dni,  35 osób
6. Współpraca szansą na rozwój obszarów wiejskich poprzez innowacje - 5 seminariów po 20 osób każde (4 jednodniowe i 1 dwudniowe)
7. Innowacje w chowie i hodowli bydła mięsnego - konferencja 50 osób</t>
  </si>
  <si>
    <t xml:space="preserve"> Komentarz:
Ulotka informaycjna  nt. Sieci, partnerstwa i działania „Współpraca" rozdawana na stoiskach promocyjnych SIR, nakład 2000 sztuk</t>
  </si>
  <si>
    <t>Komentarz:
1. Wyjazd studyjny do Austrii jako działanie na rzecz tworzenia sieci kontaktów dla osób wdrażających innowacje na obszarach wiejskich - 1 wyjazd studyjny (45 dni)
2. Zakładanie plantacji winorośli. Uprawa winogran, produkcja wina, soków - alternatywą dla lubelskich rolników - 1 wyjazd studyjny (3 dni)
3. Inne konferencja - Współpraca szansą na rozwój innowacyjnych metod uprawy i przetwórstwa ziół na Lubelszczyźnie - konferencja 1 dzień
4. Wyjazd studyjny do Czech - innowacyjne wdrożenia oraz doświadczenia w organizacji grup operacyjnych wśród Czeskich sąsiadów - 1 wyjazd studyjny (3 dni)
5. Inne seminaria -  Współpraca szansą na rozwój obszarów wiejskich poprzez innowacje - 5 seminariów (4 jednodniowe i 1 dwudniowe)
6. Inne konferencja - Innowacje w chowie i hodowli bydła mięsnego - konferencja 1 dzień</t>
  </si>
  <si>
    <t>Komentarz:
1. Wyjazd studyjny do Austrii jako działanie na rzecz tworzenia sieci kontaktów dla osób wdrażających innowacje na obszarach wiejskich - 1 wyjazd studyjny, 4 dni,  35 osób (doradcy 15 osób, rolnicy 18 osób, organizacje rolnicze 2 osoby)
2. Zakładanie plantacji winorośli. Uprawa winogran, produkcja wina, soków - alternatywą dla lubelskich rolników - 1 wyjazd studyjny, 3 dni,  30 osób (doradcy 19 osób, rolnicy 11)
3. Współpraca szansą na rozwój innowacyjnych metod uprawy i przetwórstwa ziół na Lubelszczyźnie - konferencja 80 osób (doradcy 6 osób, rolnicy 72 os., organizacje 2 os.)
4. Wyjazd studyjny do Czech - innowacyjne wdrożenia oraz doświadczenia w organizacji grup operacyjnych wśród Czeskich sąsiadów - 1 wyjazd studyjny, 3 dni,  35 osób (doradcy 17 os., rolnicy 9 os., organizacje 9 os.)
5. Współpraca szansą na rozwój obszarów wiejskich poprzez innowacje - 5 seminariów po 20 osób każde (4 jednodniowe i 1 dwudniowe) (LGD 3 os., rolnicy 16 os., organziacj 1 os.)
6. Innowacje w chowie i hodowli bydła mięsnego - konferencja 50 osób (doradcy 4 os., rolnicy 39 os., organizacj 7 os.)</t>
  </si>
  <si>
    <t xml:space="preserve">Na koszty funkcjonowania biura SIR w 2018 roku składały się koszty wynagrodzenia zespołu ds. SIR (2 koordynatorów i brokera), koszty zakupu materiałów biurowych, aparatu fotograficznego oraz delegacje. </t>
  </si>
  <si>
    <t>Jednostka wdrażająca: Lubuski Ośrodek Doradztwa Rolniczego z siedzibą w Kalsku</t>
  </si>
  <si>
    <r>
      <t xml:space="preserve">Komentarz:                                                                                                                                                                                                                                                        </t>
    </r>
    <r>
      <rPr>
        <b/>
        <sz val="10"/>
        <color theme="1"/>
        <rFont val="Calibri"/>
        <family val="2"/>
        <charset val="238"/>
        <scheme val="minor"/>
      </rPr>
      <t>1.</t>
    </r>
    <r>
      <rPr>
        <i/>
        <sz val="10"/>
        <color theme="1"/>
        <rFont val="Calibri"/>
        <family val="2"/>
        <charset val="238"/>
        <scheme val="minor"/>
      </rPr>
      <t xml:space="preserve"> Innowacyjne metody w produkcji roślinnej przyjazne środowisku naturalnemu - </t>
    </r>
    <r>
      <rPr>
        <sz val="10"/>
        <color theme="1"/>
        <rFont val="Calibri"/>
        <family val="2"/>
        <charset val="238"/>
        <scheme val="minor"/>
      </rPr>
      <t>szkolenie w siedzibie głównej LODR w Kalsku (20.06.2018 r.) oraz w oddziale zamiejscowym w Gliśnie (21.06.2018 r.);</t>
    </r>
    <r>
      <rPr>
        <i/>
        <sz val="10"/>
        <color theme="1"/>
        <rFont val="Calibri"/>
        <family val="2"/>
        <charset val="238"/>
        <scheme val="minor"/>
      </rPr>
      <t xml:space="preserve">
</t>
    </r>
    <r>
      <rPr>
        <b/>
        <sz val="10"/>
        <color theme="1"/>
        <rFont val="Calibri"/>
        <family val="2"/>
        <charset val="238"/>
        <scheme val="minor"/>
      </rPr>
      <t>2.</t>
    </r>
    <r>
      <rPr>
        <i/>
        <sz val="10"/>
        <color theme="1"/>
        <rFont val="Calibri"/>
        <family val="2"/>
        <charset val="238"/>
        <scheme val="minor"/>
      </rPr>
      <t xml:space="preserve"> Innowacyjne zwalczanie chwastów metodą elektroherbicydu</t>
    </r>
    <r>
      <rPr>
        <sz val="10"/>
        <color theme="1"/>
        <rFont val="Calibri"/>
        <family val="2"/>
        <charset val="238"/>
        <scheme val="minor"/>
      </rPr>
      <t xml:space="preserve"> - wyjazd studyjny;</t>
    </r>
    <r>
      <rPr>
        <i/>
        <sz val="10"/>
        <color theme="1"/>
        <rFont val="Calibri"/>
        <family val="2"/>
        <charset val="238"/>
        <scheme val="minor"/>
      </rPr>
      <t xml:space="preserve">
</t>
    </r>
    <r>
      <rPr>
        <b/>
        <sz val="10"/>
        <color theme="1"/>
        <rFont val="Calibri"/>
        <family val="2"/>
        <charset val="238"/>
        <scheme val="minor"/>
      </rPr>
      <t>3.</t>
    </r>
    <r>
      <rPr>
        <i/>
        <sz val="10"/>
        <color theme="1"/>
        <rFont val="Calibri"/>
        <family val="2"/>
        <charset val="238"/>
        <scheme val="minor"/>
      </rPr>
      <t xml:space="preserve"> Innowacje w chowie i hodowli bydła mięsnego na przykładzie francuskich doświadczeń - wyjazd studyjny;
</t>
    </r>
    <r>
      <rPr>
        <b/>
        <sz val="10"/>
        <color theme="1"/>
        <rFont val="Calibri"/>
        <family val="2"/>
        <charset val="238"/>
        <scheme val="minor"/>
      </rPr>
      <t>4.</t>
    </r>
    <r>
      <rPr>
        <i/>
        <sz val="10"/>
        <color theme="1"/>
        <rFont val="Calibri"/>
        <family val="2"/>
        <charset val="238"/>
        <scheme val="minor"/>
      </rPr>
      <t xml:space="preserve"> Wyjazd studyjny pn. Poszukiwanie i przygotowanie potencjalnych członków grup operacyjnych w województwie lubuskim – na przykładzie dobrych praktyk z województwa kujawsko-pomorskiego - wyjazd studyjny;
</t>
    </r>
    <r>
      <rPr>
        <b/>
        <sz val="10"/>
        <color theme="1"/>
        <rFont val="Calibri"/>
        <family val="2"/>
        <charset val="238"/>
        <scheme val="minor"/>
      </rPr>
      <t xml:space="preserve">5. </t>
    </r>
    <r>
      <rPr>
        <i/>
        <sz val="10"/>
        <color theme="1"/>
        <rFont val="Calibri"/>
        <family val="2"/>
        <charset val="238"/>
        <scheme val="minor"/>
      </rPr>
      <t xml:space="preserve">Innowacyjne metody w chowie bydła mięsnego zmierzające do produkcji wysokiej jakości markowego mięsa </t>
    </r>
    <r>
      <rPr>
        <sz val="10"/>
        <color theme="1"/>
        <rFont val="Calibri"/>
        <family val="2"/>
        <charset val="238"/>
        <scheme val="minor"/>
      </rPr>
      <t>- konferencja;</t>
    </r>
    <r>
      <rPr>
        <i/>
        <sz val="10"/>
        <color theme="1"/>
        <rFont val="Calibri"/>
        <family val="2"/>
        <charset val="238"/>
        <scheme val="minor"/>
      </rPr>
      <t xml:space="preserve">
</t>
    </r>
    <r>
      <rPr>
        <b/>
        <sz val="10"/>
        <color theme="1"/>
        <rFont val="Calibri"/>
        <family val="2"/>
        <charset val="238"/>
        <scheme val="minor"/>
      </rPr>
      <t xml:space="preserve">6. </t>
    </r>
    <r>
      <rPr>
        <i/>
        <sz val="10"/>
        <color theme="1"/>
        <rFont val="Calibri"/>
        <family val="2"/>
        <charset val="238"/>
        <scheme val="minor"/>
      </rPr>
      <t xml:space="preserve">Innowacje w technice ochrony roślin. Optymalna ochrona – minimalizacja pozostałości pestycydów - </t>
    </r>
    <r>
      <rPr>
        <sz val="10"/>
        <color theme="1"/>
        <rFont val="Calibri"/>
        <family val="2"/>
        <charset val="238"/>
        <scheme val="minor"/>
      </rPr>
      <t>szkolenie;</t>
    </r>
    <r>
      <rPr>
        <i/>
        <sz val="10"/>
        <color theme="1"/>
        <rFont val="Calibri"/>
        <family val="2"/>
        <charset val="238"/>
        <scheme val="minor"/>
      </rPr>
      <t xml:space="preserve">
</t>
    </r>
    <r>
      <rPr>
        <b/>
        <sz val="10"/>
        <color theme="1"/>
        <rFont val="Calibri"/>
        <family val="2"/>
        <charset val="238"/>
        <scheme val="minor"/>
      </rPr>
      <t>7.</t>
    </r>
    <r>
      <rPr>
        <i/>
        <sz val="10"/>
        <color theme="1"/>
        <rFont val="Calibri"/>
        <family val="2"/>
        <charset val="238"/>
        <scheme val="minor"/>
      </rPr>
      <t xml:space="preserve"> Innowacje w produkcji pasz objętościowych dla bydła mlecznego</t>
    </r>
    <r>
      <rPr>
        <sz val="10"/>
        <color theme="1"/>
        <rFont val="Calibri"/>
        <family val="2"/>
        <charset val="238"/>
        <scheme val="minor"/>
      </rPr>
      <t>- szkolenie;</t>
    </r>
    <r>
      <rPr>
        <i/>
        <sz val="10"/>
        <color theme="1"/>
        <rFont val="Calibri"/>
        <family val="2"/>
        <charset val="238"/>
        <scheme val="minor"/>
      </rPr>
      <t xml:space="preserve">
</t>
    </r>
    <r>
      <rPr>
        <b/>
        <sz val="10"/>
        <color theme="1"/>
        <rFont val="Calibri"/>
        <family val="2"/>
        <charset val="238"/>
        <scheme val="minor"/>
      </rPr>
      <t>8.</t>
    </r>
    <r>
      <rPr>
        <i/>
        <sz val="10"/>
        <color theme="1"/>
        <rFont val="Calibri"/>
        <family val="2"/>
        <charset val="238"/>
        <scheme val="minor"/>
      </rPr>
      <t xml:space="preserve"> Innowacyjne metody w procesach przetwórczych owoców winorośli</t>
    </r>
    <r>
      <rPr>
        <sz val="10"/>
        <color theme="1"/>
        <rFont val="Calibri"/>
        <family val="2"/>
        <charset val="238"/>
        <scheme val="minor"/>
      </rPr>
      <t xml:space="preserve"> - konferencja połączona z warsztatami (21.09.2018 r.) oraz konferencja podsumowująca (13.12.2018 r.);</t>
    </r>
    <r>
      <rPr>
        <i/>
        <sz val="10"/>
        <color theme="1"/>
        <rFont val="Calibri"/>
        <family val="2"/>
        <charset val="238"/>
        <scheme val="minor"/>
      </rPr>
      <t xml:space="preserve">
</t>
    </r>
    <r>
      <rPr>
        <b/>
        <sz val="10"/>
        <color theme="1"/>
        <rFont val="Calibri"/>
        <family val="2"/>
        <charset val="238"/>
        <scheme val="minor"/>
      </rPr>
      <t xml:space="preserve">9. </t>
    </r>
    <r>
      <rPr>
        <i/>
        <sz val="10"/>
        <color theme="1"/>
        <rFont val="Calibri"/>
        <family val="2"/>
        <charset val="238"/>
        <scheme val="minor"/>
      </rPr>
      <t xml:space="preserve">Rzepak ozimy w mulczu – przez uproszczenie do innowacyjności - </t>
    </r>
    <r>
      <rPr>
        <sz val="10"/>
        <color theme="1"/>
        <rFont val="Calibri"/>
        <family val="2"/>
        <charset val="238"/>
        <scheme val="minor"/>
      </rPr>
      <t>szkolenie;</t>
    </r>
    <r>
      <rPr>
        <i/>
        <sz val="10"/>
        <color theme="1"/>
        <rFont val="Calibri"/>
        <family val="2"/>
        <charset val="238"/>
        <scheme val="minor"/>
      </rPr>
      <t xml:space="preserve">
</t>
    </r>
    <r>
      <rPr>
        <b/>
        <sz val="10"/>
        <color theme="1"/>
        <rFont val="Calibri"/>
        <family val="2"/>
        <charset val="238"/>
        <scheme val="minor"/>
      </rPr>
      <t>10.</t>
    </r>
    <r>
      <rPr>
        <i/>
        <sz val="10"/>
        <color theme="1"/>
        <rFont val="Calibri"/>
        <family val="2"/>
        <charset val="238"/>
        <scheme val="minor"/>
      </rPr>
      <t xml:space="preserve"> Innowacje w produkcji trzody chlewnej </t>
    </r>
    <r>
      <rPr>
        <sz val="10"/>
        <color theme="1"/>
        <rFont val="Calibri"/>
        <family val="2"/>
        <charset val="238"/>
        <scheme val="minor"/>
      </rPr>
      <t>- szkolenie.</t>
    </r>
    <r>
      <rPr>
        <i/>
        <sz val="10"/>
        <color theme="1"/>
        <rFont val="Calibri"/>
        <family val="2"/>
        <charset val="238"/>
        <scheme val="minor"/>
      </rPr>
      <t xml:space="preserve">
</t>
    </r>
  </si>
  <si>
    <r>
      <t xml:space="preserve">Komentarz:                                                                                                                                                                                                                                                         </t>
    </r>
    <r>
      <rPr>
        <b/>
        <sz val="10"/>
        <color theme="1"/>
        <rFont val="Calibri"/>
        <family val="2"/>
        <charset val="238"/>
        <scheme val="minor"/>
      </rPr>
      <t>1.</t>
    </r>
    <r>
      <rPr>
        <sz val="10"/>
        <color theme="1"/>
        <rFont val="Calibri"/>
        <family val="2"/>
        <charset val="238"/>
        <scheme val="minor"/>
      </rPr>
      <t xml:space="preserve"> </t>
    </r>
    <r>
      <rPr>
        <i/>
        <sz val="10"/>
        <color theme="1"/>
        <rFont val="Calibri"/>
        <family val="2"/>
        <charset val="238"/>
        <scheme val="minor"/>
      </rPr>
      <t xml:space="preserve">Innowacyjne metody w produkcji roślinnej przyjazne środowisku naturalnemu - szkolenie w siedzibie głównej LODR w Kalsku - </t>
    </r>
    <r>
      <rPr>
        <sz val="10"/>
        <color theme="1"/>
        <rFont val="Calibri"/>
        <family val="2"/>
        <charset val="238"/>
        <scheme val="minor"/>
      </rPr>
      <t>40 osób</t>
    </r>
    <r>
      <rPr>
        <i/>
        <sz val="10"/>
        <color theme="1"/>
        <rFont val="Calibri"/>
        <family val="2"/>
        <charset val="238"/>
        <scheme val="minor"/>
      </rPr>
      <t xml:space="preserve"> (20.06.2018 r.) oraz w oddziale zamiejscowym w Gliśnie - </t>
    </r>
    <r>
      <rPr>
        <sz val="10"/>
        <color theme="1"/>
        <rFont val="Calibri"/>
        <family val="2"/>
        <charset val="238"/>
        <scheme val="minor"/>
      </rPr>
      <t>40 osób</t>
    </r>
    <r>
      <rPr>
        <i/>
        <sz val="10"/>
        <color theme="1"/>
        <rFont val="Calibri"/>
        <family val="2"/>
        <charset val="238"/>
        <scheme val="minor"/>
      </rPr>
      <t xml:space="preserve"> (21.06.2018 r.);</t>
    </r>
    <r>
      <rPr>
        <sz val="10"/>
        <color theme="1"/>
        <rFont val="Calibri"/>
        <family val="2"/>
        <charset val="238"/>
        <scheme val="minor"/>
      </rPr>
      <t xml:space="preserve">
</t>
    </r>
    <r>
      <rPr>
        <b/>
        <sz val="10"/>
        <color theme="1"/>
        <rFont val="Calibri"/>
        <family val="2"/>
        <charset val="238"/>
        <scheme val="minor"/>
      </rPr>
      <t>2.</t>
    </r>
    <r>
      <rPr>
        <sz val="10"/>
        <color theme="1"/>
        <rFont val="Calibri"/>
        <family val="2"/>
        <charset val="238"/>
        <scheme val="minor"/>
      </rPr>
      <t xml:space="preserve"> </t>
    </r>
    <r>
      <rPr>
        <i/>
        <sz val="10"/>
        <color theme="1"/>
        <rFont val="Calibri"/>
        <family val="2"/>
        <charset val="238"/>
        <scheme val="minor"/>
      </rPr>
      <t xml:space="preserve">Innowacyjne zwalczanie chwastów metodą elektroherbicydu - wyjazd studyjny - </t>
    </r>
    <r>
      <rPr>
        <sz val="10"/>
        <color theme="1"/>
        <rFont val="Calibri"/>
        <family val="2"/>
        <charset val="238"/>
        <scheme val="minor"/>
      </rPr>
      <t xml:space="preserve">45 osób;
</t>
    </r>
    <r>
      <rPr>
        <b/>
        <sz val="10"/>
        <color theme="1"/>
        <rFont val="Calibri"/>
        <family val="2"/>
        <charset val="238"/>
        <scheme val="minor"/>
      </rPr>
      <t>3.</t>
    </r>
    <r>
      <rPr>
        <i/>
        <sz val="10"/>
        <color theme="1"/>
        <rFont val="Calibri"/>
        <family val="2"/>
        <charset val="238"/>
        <scheme val="minor"/>
      </rPr>
      <t xml:space="preserve"> Innowacje w chowie i hodowli bydła mięsnego na przykładzie francuskich doświadczeń - wyjazd studyjny - </t>
    </r>
    <r>
      <rPr>
        <sz val="10"/>
        <color theme="1"/>
        <rFont val="Calibri"/>
        <family val="2"/>
        <charset val="238"/>
        <scheme val="minor"/>
      </rPr>
      <t xml:space="preserve">30 osób;
</t>
    </r>
    <r>
      <rPr>
        <b/>
        <sz val="10"/>
        <color theme="1"/>
        <rFont val="Calibri"/>
        <family val="2"/>
        <charset val="238"/>
        <scheme val="minor"/>
      </rPr>
      <t xml:space="preserve">4. </t>
    </r>
    <r>
      <rPr>
        <i/>
        <sz val="10"/>
        <color theme="1"/>
        <rFont val="Calibri"/>
        <family val="2"/>
        <charset val="238"/>
        <scheme val="minor"/>
      </rPr>
      <t xml:space="preserve">Wyjazd studyjny pn. Poszukiwanie i przygotowanie potencjalnych członków grup operacyjnych w województwie lubuskim – na przykładzie dobrych praktyk z województwa kujawsko-pomorskiego - wyjazd studyjny - </t>
    </r>
    <r>
      <rPr>
        <sz val="10"/>
        <color theme="1"/>
        <rFont val="Calibri"/>
        <family val="2"/>
        <charset val="238"/>
        <scheme val="minor"/>
      </rPr>
      <t xml:space="preserve">30 osób;
</t>
    </r>
    <r>
      <rPr>
        <b/>
        <sz val="10"/>
        <color theme="1"/>
        <rFont val="Calibri"/>
        <family val="2"/>
        <charset val="238"/>
        <scheme val="minor"/>
      </rPr>
      <t>5.</t>
    </r>
    <r>
      <rPr>
        <i/>
        <sz val="10"/>
        <color theme="1"/>
        <rFont val="Calibri"/>
        <family val="2"/>
        <charset val="238"/>
        <scheme val="minor"/>
      </rPr>
      <t xml:space="preserve"> Innowacyjne metody w chowie bydła mięsnego zmierzające do produkcji wysokiej jakości markowego mięsa - konferencja - </t>
    </r>
    <r>
      <rPr>
        <sz val="10"/>
        <color theme="1"/>
        <rFont val="Calibri"/>
        <family val="2"/>
        <charset val="238"/>
        <scheme val="minor"/>
      </rPr>
      <t xml:space="preserve">60 osób + </t>
    </r>
    <r>
      <rPr>
        <sz val="10"/>
        <rFont val="Calibri"/>
        <family val="2"/>
        <charset val="238"/>
        <scheme val="minor"/>
      </rPr>
      <t>94 wolni słuchacze (zmiany z XII.2018 r. PO na lata 2018-2019 dot. liczby osób została uwzględniona);</t>
    </r>
    <r>
      <rPr>
        <sz val="10"/>
        <color theme="1"/>
        <rFont val="Calibri"/>
        <family val="2"/>
        <charset val="238"/>
        <scheme val="minor"/>
      </rPr>
      <t xml:space="preserve">
</t>
    </r>
    <r>
      <rPr>
        <b/>
        <sz val="10"/>
        <color theme="1"/>
        <rFont val="Calibri"/>
        <family val="2"/>
        <charset val="238"/>
        <scheme val="minor"/>
      </rPr>
      <t>6.</t>
    </r>
    <r>
      <rPr>
        <sz val="10"/>
        <color theme="1"/>
        <rFont val="Calibri"/>
        <family val="2"/>
        <charset val="238"/>
        <scheme val="minor"/>
      </rPr>
      <t xml:space="preserve"> </t>
    </r>
    <r>
      <rPr>
        <i/>
        <sz val="10"/>
        <color theme="1"/>
        <rFont val="Calibri"/>
        <family val="2"/>
        <charset val="238"/>
        <scheme val="minor"/>
      </rPr>
      <t xml:space="preserve">Innowacje w technice ochrony roślin. Optymalna ochrona – minimalizacja pozostałości pestycydów - szkolenie - </t>
    </r>
    <r>
      <rPr>
        <sz val="10"/>
        <color theme="1"/>
        <rFont val="Calibri"/>
        <family val="2"/>
        <charset val="238"/>
        <scheme val="minor"/>
      </rPr>
      <t xml:space="preserve">40 osób;
</t>
    </r>
    <r>
      <rPr>
        <b/>
        <sz val="10"/>
        <color theme="1"/>
        <rFont val="Calibri"/>
        <family val="2"/>
        <charset val="238"/>
        <scheme val="minor"/>
      </rPr>
      <t>7.</t>
    </r>
    <r>
      <rPr>
        <sz val="10"/>
        <color theme="1"/>
        <rFont val="Calibri"/>
        <family val="2"/>
        <charset val="238"/>
        <scheme val="minor"/>
      </rPr>
      <t xml:space="preserve"> </t>
    </r>
    <r>
      <rPr>
        <i/>
        <sz val="10"/>
        <color theme="1"/>
        <rFont val="Calibri"/>
        <family val="2"/>
        <charset val="238"/>
        <scheme val="minor"/>
      </rPr>
      <t>Innowacje w produkcji pasz objętościowych dla bydła mlecznego- szkolenie</t>
    </r>
    <r>
      <rPr>
        <sz val="10"/>
        <color theme="1"/>
        <rFont val="Calibri"/>
        <family val="2"/>
        <charset val="238"/>
        <scheme val="minor"/>
      </rPr>
      <t xml:space="preserve"> - 40 osób</t>
    </r>
    <r>
      <rPr>
        <i/>
        <sz val="10"/>
        <color theme="1"/>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8.</t>
    </r>
    <r>
      <rPr>
        <sz val="10"/>
        <color theme="1"/>
        <rFont val="Calibri"/>
        <family val="2"/>
        <charset val="238"/>
        <scheme val="minor"/>
      </rPr>
      <t xml:space="preserve"> </t>
    </r>
    <r>
      <rPr>
        <i/>
        <sz val="10"/>
        <color theme="1"/>
        <rFont val="Calibri"/>
        <family val="2"/>
        <charset val="238"/>
        <scheme val="minor"/>
      </rPr>
      <t xml:space="preserve">Innowacyjne metody w procesach przetwórczych owoców winorośli - konferencja połączona z warsztatami (21.09.2018 r.) - </t>
    </r>
    <r>
      <rPr>
        <sz val="10"/>
        <color theme="1"/>
        <rFont val="Calibri"/>
        <family val="2"/>
        <charset val="238"/>
        <scheme val="minor"/>
      </rPr>
      <t>36 osób</t>
    </r>
    <r>
      <rPr>
        <i/>
        <sz val="10"/>
        <color theme="1"/>
        <rFont val="Calibri"/>
        <family val="2"/>
        <charset val="238"/>
        <scheme val="minor"/>
      </rPr>
      <t xml:space="preserve"> oraz konferencja podsumowująca </t>
    </r>
    <r>
      <rPr>
        <sz val="10"/>
        <color theme="1"/>
        <rFont val="Calibri"/>
        <family val="2"/>
        <charset val="238"/>
        <scheme val="minor"/>
      </rPr>
      <t>- 36 osób</t>
    </r>
    <r>
      <rPr>
        <i/>
        <sz val="10"/>
        <color theme="1"/>
        <rFont val="Calibri"/>
        <family val="2"/>
        <charset val="238"/>
        <scheme val="minor"/>
      </rPr>
      <t xml:space="preserve"> (13.12.2018 r.);</t>
    </r>
    <r>
      <rPr>
        <sz val="10"/>
        <color theme="1"/>
        <rFont val="Calibri"/>
        <family val="2"/>
        <charset val="238"/>
        <scheme val="minor"/>
      </rPr>
      <t xml:space="preserve">
</t>
    </r>
    <r>
      <rPr>
        <b/>
        <sz val="10"/>
        <color theme="1"/>
        <rFont val="Calibri"/>
        <family val="2"/>
        <charset val="238"/>
        <scheme val="minor"/>
      </rPr>
      <t>9.</t>
    </r>
    <r>
      <rPr>
        <sz val="10"/>
        <color theme="1"/>
        <rFont val="Calibri"/>
        <family val="2"/>
        <charset val="238"/>
        <scheme val="minor"/>
      </rPr>
      <t xml:space="preserve"> </t>
    </r>
    <r>
      <rPr>
        <i/>
        <sz val="10"/>
        <color theme="1"/>
        <rFont val="Calibri"/>
        <family val="2"/>
        <charset val="238"/>
        <scheme val="minor"/>
      </rPr>
      <t xml:space="preserve">Rzepak ozimy w mulczu – przez uproszczenie do innowacyjności - szkolenie </t>
    </r>
    <r>
      <rPr>
        <sz val="10"/>
        <color theme="1"/>
        <rFont val="Calibri"/>
        <family val="2"/>
        <charset val="238"/>
        <scheme val="minor"/>
      </rPr>
      <t>- 40 osób</t>
    </r>
    <r>
      <rPr>
        <i/>
        <sz val="10"/>
        <color theme="1"/>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 xml:space="preserve">10. </t>
    </r>
    <r>
      <rPr>
        <i/>
        <sz val="10"/>
        <color theme="1"/>
        <rFont val="Calibri"/>
        <family val="2"/>
        <charset val="238"/>
        <scheme val="minor"/>
      </rPr>
      <t>Innowacje w produkcji trzody chlewnej - szkolenie.</t>
    </r>
  </si>
  <si>
    <t xml:space="preserve"> </t>
  </si>
  <si>
    <r>
      <t xml:space="preserve">Komentarz:                                                                                                                                                                                                                                                        </t>
    </r>
    <r>
      <rPr>
        <b/>
        <sz val="10"/>
        <color theme="1"/>
        <rFont val="Calibri"/>
        <family val="2"/>
        <charset val="238"/>
        <scheme val="minor"/>
      </rPr>
      <t xml:space="preserve">1. </t>
    </r>
    <r>
      <rPr>
        <sz val="10"/>
        <color theme="1"/>
        <rFont val="Calibri"/>
        <family val="2"/>
        <charset val="238"/>
        <scheme val="minor"/>
      </rPr>
      <t>SZKOLENIE - 2 DNI -</t>
    </r>
    <r>
      <rPr>
        <b/>
        <sz val="10"/>
        <color theme="1"/>
        <rFont val="Calibri"/>
        <family val="2"/>
        <charset val="238"/>
        <scheme val="minor"/>
      </rPr>
      <t xml:space="preserve"> </t>
    </r>
    <r>
      <rPr>
        <i/>
        <sz val="10"/>
        <color theme="1"/>
        <rFont val="Calibri"/>
        <family val="2"/>
        <charset val="238"/>
        <scheme val="minor"/>
      </rPr>
      <t>Innowacyjne metody w produkcji roślinnej przyjazne środowisku naturalnemu</t>
    </r>
    <r>
      <rPr>
        <sz val="10"/>
        <color theme="1"/>
        <rFont val="Calibri"/>
        <family val="2"/>
        <scheme val="minor"/>
      </rPr>
      <t xml:space="preserve"> - w siedzibie głównej LODR w Kalsku (20.06.2018 r.) oraz w oddziale zamiejscowym w Gliśnie (21.06.2018 r.);
</t>
    </r>
    <r>
      <rPr>
        <b/>
        <sz val="10"/>
        <color theme="1"/>
        <rFont val="Calibri"/>
        <family val="2"/>
        <charset val="238"/>
        <scheme val="minor"/>
      </rPr>
      <t xml:space="preserve">2. </t>
    </r>
    <r>
      <rPr>
        <sz val="10"/>
        <color theme="1"/>
        <rFont val="Calibri"/>
        <family val="2"/>
        <charset val="238"/>
        <scheme val="minor"/>
      </rPr>
      <t>WYJAZD STUDYJNY - 2 DNI</t>
    </r>
    <r>
      <rPr>
        <sz val="10"/>
        <color theme="1"/>
        <rFont val="Calibri"/>
        <family val="2"/>
        <scheme val="minor"/>
      </rPr>
      <t xml:space="preserve"> - </t>
    </r>
    <r>
      <rPr>
        <i/>
        <sz val="10"/>
        <color theme="1"/>
        <rFont val="Calibri"/>
        <family val="2"/>
        <charset val="238"/>
        <scheme val="minor"/>
      </rPr>
      <t>Innowacyjne zwalczanie chwastów metodą elektroherbicydu</t>
    </r>
    <r>
      <rPr>
        <sz val="10"/>
        <color theme="1"/>
        <rFont val="Calibri"/>
        <family val="2"/>
        <scheme val="minor"/>
      </rPr>
      <t xml:space="preserve"> (11-12.06.2018 r.);
</t>
    </r>
    <r>
      <rPr>
        <b/>
        <sz val="10"/>
        <color theme="1"/>
        <rFont val="Calibri"/>
        <family val="2"/>
        <charset val="238"/>
        <scheme val="minor"/>
      </rPr>
      <t>3.</t>
    </r>
    <r>
      <rPr>
        <sz val="10"/>
        <color theme="1"/>
        <rFont val="Calibri"/>
        <family val="2"/>
        <scheme val="minor"/>
      </rPr>
      <t xml:space="preserve"> WYJAZD STUDYJNY - 7 DNI - </t>
    </r>
    <r>
      <rPr>
        <i/>
        <sz val="10"/>
        <color theme="1"/>
        <rFont val="Calibri"/>
        <family val="2"/>
        <charset val="238"/>
        <scheme val="minor"/>
      </rPr>
      <t>Innowacje w chowie i hodowli bydła mięsnego na przykładzie francuskich doświadczeń</t>
    </r>
    <r>
      <rPr>
        <sz val="10"/>
        <color theme="1"/>
        <rFont val="Calibri"/>
        <family val="2"/>
        <scheme val="minor"/>
      </rPr>
      <t xml:space="preserve"> (30.09-06.10.2018 r.);
</t>
    </r>
    <r>
      <rPr>
        <b/>
        <sz val="10"/>
        <color theme="1"/>
        <rFont val="Calibri"/>
        <family val="2"/>
        <charset val="238"/>
        <scheme val="minor"/>
      </rPr>
      <t xml:space="preserve">4. </t>
    </r>
    <r>
      <rPr>
        <sz val="10"/>
        <color theme="1"/>
        <rFont val="Calibri"/>
        <family val="2"/>
        <charset val="238"/>
        <scheme val="minor"/>
      </rPr>
      <t>WYJAZD STUDYJNY - 1 DZIEŃ -</t>
    </r>
    <r>
      <rPr>
        <i/>
        <sz val="10"/>
        <color theme="1"/>
        <rFont val="Calibri"/>
        <family val="2"/>
        <charset val="238"/>
        <scheme val="minor"/>
      </rPr>
      <t xml:space="preserve"> Wyjazd studyjny pn. Poszukiwanie i przygotowanie potencjalnych członków grup operacyjnych w województwie lubuskim – na przykładzie dobrych praktyk z województwa kujawsko-pomorskiego - (04.09.2018 r.);</t>
    </r>
    <r>
      <rPr>
        <sz val="10"/>
        <color theme="1"/>
        <rFont val="Calibri"/>
        <family val="2"/>
        <scheme val="minor"/>
      </rPr>
      <t xml:space="preserve">
</t>
    </r>
    <r>
      <rPr>
        <b/>
        <sz val="10"/>
        <color theme="1"/>
        <rFont val="Calibri"/>
        <family val="2"/>
        <charset val="238"/>
        <scheme val="minor"/>
      </rPr>
      <t xml:space="preserve">5. </t>
    </r>
    <r>
      <rPr>
        <sz val="10"/>
        <color theme="1"/>
        <rFont val="Calibri"/>
        <family val="2"/>
        <charset val="238"/>
        <scheme val="minor"/>
      </rPr>
      <t>KONFERENCJA [INNE] - 2 DNI -</t>
    </r>
    <r>
      <rPr>
        <i/>
        <sz val="10"/>
        <color theme="1"/>
        <rFont val="Calibri"/>
        <family val="2"/>
        <charset val="238"/>
        <scheme val="minor"/>
      </rPr>
      <t xml:space="preserve"> Innowacyjne metody w chowie bydła mięsnego zmierzające do produkcji wysokiej jakości markowego mięsa </t>
    </r>
    <r>
      <rPr>
        <sz val="10"/>
        <color theme="1"/>
        <rFont val="Calibri"/>
        <family val="2"/>
        <charset val="238"/>
        <scheme val="minor"/>
      </rPr>
      <t>(27-28.06.2018 r.)</t>
    </r>
    <r>
      <rPr>
        <i/>
        <sz val="10"/>
        <color theme="1"/>
        <rFont val="Calibri"/>
        <family val="2"/>
        <charset val="238"/>
        <scheme val="minor"/>
      </rPr>
      <t>;</t>
    </r>
    <r>
      <rPr>
        <sz val="10"/>
        <color theme="1"/>
        <rFont val="Calibri"/>
        <family val="2"/>
        <scheme val="minor"/>
      </rPr>
      <t xml:space="preserve">
</t>
    </r>
    <r>
      <rPr>
        <b/>
        <sz val="10"/>
        <color theme="1"/>
        <rFont val="Calibri"/>
        <family val="2"/>
        <charset val="238"/>
        <scheme val="minor"/>
      </rPr>
      <t>6.</t>
    </r>
    <r>
      <rPr>
        <sz val="10"/>
        <color theme="1"/>
        <rFont val="Calibri"/>
        <family val="2"/>
        <scheme val="minor"/>
      </rPr>
      <t xml:space="preserve"> SZKOLENIE - 1 DZIEŃ -</t>
    </r>
    <r>
      <rPr>
        <i/>
        <sz val="10"/>
        <color theme="1"/>
        <rFont val="Calibri"/>
        <family val="2"/>
        <charset val="238"/>
        <scheme val="minor"/>
      </rPr>
      <t xml:space="preserve"> Innowacje w technice ochrony roślin. Optymalna ochrona – minimalizacja pozostałości pestycydów</t>
    </r>
    <r>
      <rPr>
        <sz val="10"/>
        <color theme="1"/>
        <rFont val="Calibri"/>
        <family val="2"/>
        <scheme val="minor"/>
      </rPr>
      <t xml:space="preserve"> (26.10.2018 r.);
</t>
    </r>
    <r>
      <rPr>
        <b/>
        <sz val="10"/>
        <color theme="1"/>
        <rFont val="Calibri"/>
        <family val="2"/>
        <charset val="238"/>
        <scheme val="minor"/>
      </rPr>
      <t>7.</t>
    </r>
    <r>
      <rPr>
        <sz val="10"/>
        <color theme="1"/>
        <rFont val="Calibri"/>
        <family val="2"/>
        <scheme val="minor"/>
      </rPr>
      <t xml:space="preserve"> SZKOLENIE - 1 DZIEŃ - </t>
    </r>
    <r>
      <rPr>
        <i/>
        <sz val="10"/>
        <color theme="1"/>
        <rFont val="Calibri"/>
        <family val="2"/>
        <charset val="238"/>
        <scheme val="minor"/>
      </rPr>
      <t>Innowacje w produkcji pasz objętościowych dla bydła mlecznego</t>
    </r>
    <r>
      <rPr>
        <sz val="10"/>
        <color theme="1"/>
        <rFont val="Calibri"/>
        <family val="2"/>
        <charset val="238"/>
        <scheme val="minor"/>
      </rPr>
      <t>(30.11.2018 r.)</t>
    </r>
    <r>
      <rPr>
        <sz val="10"/>
        <color theme="1"/>
        <rFont val="Calibri"/>
        <family val="2"/>
        <scheme val="minor"/>
      </rPr>
      <t xml:space="preserve">;
</t>
    </r>
    <r>
      <rPr>
        <b/>
        <sz val="10"/>
        <color theme="1"/>
        <rFont val="Calibri"/>
        <family val="2"/>
        <charset val="238"/>
        <scheme val="minor"/>
      </rPr>
      <t xml:space="preserve">8. </t>
    </r>
    <r>
      <rPr>
        <sz val="10"/>
        <color theme="1"/>
        <rFont val="Calibri"/>
        <family val="2"/>
        <charset val="238"/>
        <scheme val="minor"/>
      </rPr>
      <t>KONFERENCJA [INNE] - 1 DZIEŃ (21.09.2018 r.) oraz KONFERENCJA PODSUMOWUJĄCA [INNE]</t>
    </r>
    <r>
      <rPr>
        <b/>
        <sz val="10"/>
        <color theme="1"/>
        <rFont val="Calibri"/>
        <family val="2"/>
        <charset val="238"/>
        <scheme val="minor"/>
      </rPr>
      <t xml:space="preserve"> - </t>
    </r>
    <r>
      <rPr>
        <sz val="10"/>
        <color theme="1"/>
        <rFont val="Calibri"/>
        <family val="2"/>
        <charset val="238"/>
        <scheme val="minor"/>
      </rPr>
      <t>1 DZIEŃ (13.12.2018 r.)</t>
    </r>
    <r>
      <rPr>
        <b/>
        <sz val="10"/>
        <color theme="1"/>
        <rFont val="Calibri"/>
        <family val="2"/>
        <charset val="238"/>
        <scheme val="minor"/>
      </rPr>
      <t xml:space="preserve"> -</t>
    </r>
    <r>
      <rPr>
        <i/>
        <sz val="10"/>
        <color theme="1"/>
        <rFont val="Calibri"/>
        <family val="2"/>
        <charset val="238"/>
        <scheme val="minor"/>
      </rPr>
      <t xml:space="preserve"> Innowacyjne metody w procesach przetwórczych owoców winorośli</t>
    </r>
    <r>
      <rPr>
        <sz val="10"/>
        <color theme="1"/>
        <rFont val="Calibri"/>
        <family val="2"/>
        <scheme val="minor"/>
      </rPr>
      <t xml:space="preserve">;
</t>
    </r>
    <r>
      <rPr>
        <b/>
        <sz val="10"/>
        <color theme="1"/>
        <rFont val="Calibri"/>
        <family val="2"/>
        <charset val="238"/>
        <scheme val="minor"/>
      </rPr>
      <t>9.</t>
    </r>
    <r>
      <rPr>
        <sz val="10"/>
        <color theme="1"/>
        <rFont val="Calibri"/>
        <family val="2"/>
        <scheme val="minor"/>
      </rPr>
      <t xml:space="preserve"> SZKOLENIE - 1 DZIEŃ - </t>
    </r>
    <r>
      <rPr>
        <i/>
        <sz val="10"/>
        <color theme="1"/>
        <rFont val="Calibri"/>
        <family val="2"/>
        <charset val="238"/>
        <scheme val="minor"/>
      </rPr>
      <t>Rzepak ozimy w mulczu – przez uproszczenie do innowacyjności (</t>
    </r>
    <r>
      <rPr>
        <sz val="10"/>
        <color theme="1"/>
        <rFont val="Calibri"/>
        <family val="2"/>
        <charset val="238"/>
        <scheme val="minor"/>
      </rPr>
      <t>22.08.2018 r.)</t>
    </r>
    <r>
      <rPr>
        <sz val="10"/>
        <color theme="1"/>
        <rFont val="Calibri"/>
        <family val="2"/>
        <scheme val="minor"/>
      </rPr>
      <t xml:space="preserve">;
</t>
    </r>
    <r>
      <rPr>
        <b/>
        <sz val="10"/>
        <color theme="1"/>
        <rFont val="Calibri"/>
        <family val="2"/>
        <charset val="238"/>
        <scheme val="minor"/>
      </rPr>
      <t xml:space="preserve">10. </t>
    </r>
    <r>
      <rPr>
        <sz val="10"/>
        <color theme="1"/>
        <rFont val="Calibri"/>
        <family val="2"/>
        <charset val="238"/>
        <scheme val="minor"/>
      </rPr>
      <t xml:space="preserve">SZKOLENIE - 1 DZIEŃ - </t>
    </r>
    <r>
      <rPr>
        <i/>
        <sz val="10"/>
        <color theme="1"/>
        <rFont val="Calibri"/>
        <family val="2"/>
        <charset val="238"/>
        <scheme val="minor"/>
      </rPr>
      <t xml:space="preserve">Innowacje w produkcji trzody chlewnej </t>
    </r>
    <r>
      <rPr>
        <sz val="10"/>
        <color theme="1"/>
        <rFont val="Calibri"/>
        <family val="2"/>
        <charset val="238"/>
        <scheme val="minor"/>
      </rPr>
      <t>(23.11.2018 r.).</t>
    </r>
  </si>
  <si>
    <r>
      <t xml:space="preserve">Komentarz:                                                                                                                                                                                                                                                        </t>
    </r>
    <r>
      <rPr>
        <b/>
        <sz val="10"/>
        <color theme="1"/>
        <rFont val="Calibri"/>
        <family val="2"/>
        <charset val="238"/>
        <scheme val="minor"/>
      </rPr>
      <t xml:space="preserve">1. </t>
    </r>
    <r>
      <rPr>
        <sz val="10"/>
        <color theme="1"/>
        <rFont val="Calibri"/>
        <family val="2"/>
        <charset val="238"/>
        <scheme val="minor"/>
      </rPr>
      <t xml:space="preserve">SZKOLENIE - </t>
    </r>
    <r>
      <rPr>
        <i/>
        <sz val="10"/>
        <color theme="1"/>
        <rFont val="Calibri"/>
        <family val="2"/>
        <charset val="238"/>
        <scheme val="minor"/>
      </rPr>
      <t>Innowacyjne metody w produkcji roślinnej przyjazne środowisku naturalnemu</t>
    </r>
    <r>
      <rPr>
        <sz val="10"/>
        <color theme="1"/>
        <rFont val="Calibri"/>
        <family val="2"/>
        <charset val="238"/>
        <scheme val="minor"/>
      </rPr>
      <t xml:space="preserve"> - w siedzibie głównej LODR w Kalsku (40 osób) oraz w oddziale zamiejscowym w Gliśnie (40 osób);
</t>
    </r>
    <r>
      <rPr>
        <b/>
        <sz val="10"/>
        <color theme="1"/>
        <rFont val="Calibri"/>
        <family val="2"/>
        <charset val="238"/>
        <scheme val="minor"/>
      </rPr>
      <t xml:space="preserve">2. </t>
    </r>
    <r>
      <rPr>
        <sz val="10"/>
        <color theme="1"/>
        <rFont val="Calibri"/>
        <family val="2"/>
        <charset val="238"/>
        <scheme val="minor"/>
      </rPr>
      <t xml:space="preserve">WYJAZD STUDYJNY (45 osób) - </t>
    </r>
    <r>
      <rPr>
        <i/>
        <sz val="10"/>
        <color theme="1"/>
        <rFont val="Calibri"/>
        <family val="2"/>
        <charset val="238"/>
        <scheme val="minor"/>
      </rPr>
      <t>Innowacyjne zwalczanie chwastów metodą elektroherbicydu</t>
    </r>
    <r>
      <rPr>
        <sz val="10"/>
        <color theme="1"/>
        <rFont val="Calibri"/>
        <family val="2"/>
        <charset val="238"/>
        <scheme val="minor"/>
      </rPr>
      <t xml:space="preserve">;
</t>
    </r>
    <r>
      <rPr>
        <b/>
        <sz val="10"/>
        <color theme="1"/>
        <rFont val="Calibri"/>
        <family val="2"/>
        <charset val="238"/>
        <scheme val="minor"/>
      </rPr>
      <t>3.</t>
    </r>
    <r>
      <rPr>
        <sz val="10"/>
        <color theme="1"/>
        <rFont val="Calibri"/>
        <family val="2"/>
        <charset val="238"/>
        <scheme val="minor"/>
      </rPr>
      <t xml:space="preserve"> WYJAZD STUDYJNY (30 osób) -</t>
    </r>
    <r>
      <rPr>
        <i/>
        <sz val="10"/>
        <color theme="1"/>
        <rFont val="Calibri"/>
        <family val="2"/>
        <charset val="238"/>
        <scheme val="minor"/>
      </rPr>
      <t xml:space="preserve"> Innowacje w chowie i hodowli bydła mięsnego na przykładzie francuskich doświadczeń;</t>
    </r>
    <r>
      <rPr>
        <sz val="10"/>
        <color theme="1"/>
        <rFont val="Calibri"/>
        <family val="2"/>
        <charset val="238"/>
        <scheme val="minor"/>
      </rPr>
      <t xml:space="preserve">
</t>
    </r>
    <r>
      <rPr>
        <b/>
        <sz val="10"/>
        <color theme="1"/>
        <rFont val="Calibri"/>
        <family val="2"/>
        <charset val="238"/>
        <scheme val="minor"/>
      </rPr>
      <t>4.</t>
    </r>
    <r>
      <rPr>
        <sz val="10"/>
        <color theme="1"/>
        <rFont val="Calibri"/>
        <family val="2"/>
        <charset val="238"/>
        <scheme val="minor"/>
      </rPr>
      <t xml:space="preserve"> WYJAZD STUDYJNY (30) - </t>
    </r>
    <r>
      <rPr>
        <i/>
        <sz val="10"/>
        <color theme="1"/>
        <rFont val="Calibri"/>
        <family val="2"/>
        <charset val="238"/>
        <scheme val="minor"/>
      </rPr>
      <t>Wyjazd studyjny pn. Poszukiwanie i przygotowanie potencjalnych członków grup operacyjnych w województwie lubuskim – na przykładzie dobrych praktyk z województwa kujawsko-pomorskiego</t>
    </r>
    <r>
      <rPr>
        <sz val="10"/>
        <color theme="1"/>
        <rFont val="Calibri"/>
        <family val="2"/>
        <charset val="238"/>
        <scheme val="minor"/>
      </rPr>
      <t xml:space="preserve">;
</t>
    </r>
    <r>
      <rPr>
        <b/>
        <sz val="10"/>
        <color theme="1"/>
        <rFont val="Calibri"/>
        <family val="2"/>
        <charset val="238"/>
        <scheme val="minor"/>
      </rPr>
      <t xml:space="preserve">5. </t>
    </r>
    <r>
      <rPr>
        <sz val="10"/>
        <color theme="1"/>
        <rFont val="Calibri"/>
        <family val="2"/>
        <charset val="238"/>
        <scheme val="minor"/>
      </rPr>
      <t xml:space="preserve">KONFERENCJA [INNE] (60 + 94 wolnych słuchaczy) - </t>
    </r>
    <r>
      <rPr>
        <i/>
        <sz val="10"/>
        <color theme="1"/>
        <rFont val="Calibri"/>
        <family val="2"/>
        <charset val="238"/>
        <scheme val="minor"/>
      </rPr>
      <t>Innowacyjne metody w chowie bydła mięsnego zmierzające do produkcji wysokiej jakości markowego mięsa;</t>
    </r>
    <r>
      <rPr>
        <sz val="10"/>
        <color theme="1"/>
        <rFont val="Calibri"/>
        <family val="2"/>
        <charset val="238"/>
        <scheme val="minor"/>
      </rPr>
      <t xml:space="preserve">
</t>
    </r>
    <r>
      <rPr>
        <b/>
        <sz val="10"/>
        <color theme="1"/>
        <rFont val="Calibri"/>
        <family val="2"/>
        <charset val="238"/>
        <scheme val="minor"/>
      </rPr>
      <t>6.</t>
    </r>
    <r>
      <rPr>
        <sz val="10"/>
        <color theme="1"/>
        <rFont val="Calibri"/>
        <family val="2"/>
        <charset val="238"/>
        <scheme val="minor"/>
      </rPr>
      <t xml:space="preserve"> SZKOLENIE (40 osób) - </t>
    </r>
    <r>
      <rPr>
        <i/>
        <sz val="10"/>
        <color theme="1"/>
        <rFont val="Calibri"/>
        <family val="2"/>
        <charset val="238"/>
        <scheme val="minor"/>
      </rPr>
      <t>Innowacje w technice ochrony roślin. Optymalna ochrona – minimalizacja pozostałości pestycydów</t>
    </r>
    <r>
      <rPr>
        <sz val="10"/>
        <color theme="1"/>
        <rFont val="Calibri"/>
        <family val="2"/>
        <charset val="238"/>
        <scheme val="minor"/>
      </rPr>
      <t xml:space="preserve">;
</t>
    </r>
    <r>
      <rPr>
        <b/>
        <sz val="10"/>
        <color theme="1"/>
        <rFont val="Calibri"/>
        <family val="2"/>
        <charset val="238"/>
        <scheme val="minor"/>
      </rPr>
      <t>7.</t>
    </r>
    <r>
      <rPr>
        <sz val="10"/>
        <color theme="1"/>
        <rFont val="Calibri"/>
        <family val="2"/>
        <charset val="238"/>
        <scheme val="minor"/>
      </rPr>
      <t xml:space="preserve"> SZKOLENIE (40 osób) - </t>
    </r>
    <r>
      <rPr>
        <i/>
        <sz val="10"/>
        <color theme="1"/>
        <rFont val="Calibri"/>
        <family val="2"/>
        <charset val="238"/>
        <scheme val="minor"/>
      </rPr>
      <t>Innowacje w produkcji pasz objętościowych dla bydła mlecznego</t>
    </r>
    <r>
      <rPr>
        <sz val="10"/>
        <color theme="1"/>
        <rFont val="Calibri"/>
        <family val="2"/>
        <charset val="238"/>
        <scheme val="minor"/>
      </rPr>
      <t xml:space="preserve">;
</t>
    </r>
    <r>
      <rPr>
        <b/>
        <sz val="10"/>
        <color theme="1"/>
        <rFont val="Calibri"/>
        <family val="2"/>
        <charset val="238"/>
        <scheme val="minor"/>
      </rPr>
      <t>8.</t>
    </r>
    <r>
      <rPr>
        <sz val="10"/>
        <color theme="1"/>
        <rFont val="Calibri"/>
        <family val="2"/>
        <charset val="238"/>
        <scheme val="minor"/>
      </rPr>
      <t xml:space="preserve"> KONFERENCJA [INNE] (36 osób) - (21.09.2018 r.) oraz KONFERENCJA PODSUMOWUJĄCA [INNE] (36 osób) - (13.12.2018 r.) - </t>
    </r>
    <r>
      <rPr>
        <i/>
        <sz val="10"/>
        <color theme="1"/>
        <rFont val="Calibri"/>
        <family val="2"/>
        <charset val="238"/>
        <scheme val="minor"/>
      </rPr>
      <t>Innowacyjne metody w procesach przetwórczych owoców winorośli;</t>
    </r>
    <r>
      <rPr>
        <sz val="10"/>
        <color theme="1"/>
        <rFont val="Calibri"/>
        <family val="2"/>
        <charset val="238"/>
        <scheme val="minor"/>
      </rPr>
      <t xml:space="preserve">
</t>
    </r>
    <r>
      <rPr>
        <b/>
        <sz val="10"/>
        <color theme="1"/>
        <rFont val="Calibri"/>
        <family val="2"/>
        <charset val="238"/>
        <scheme val="minor"/>
      </rPr>
      <t>9.</t>
    </r>
    <r>
      <rPr>
        <sz val="10"/>
        <color theme="1"/>
        <rFont val="Calibri"/>
        <family val="2"/>
        <charset val="238"/>
        <scheme val="minor"/>
      </rPr>
      <t xml:space="preserve"> SZKOLENIE (40 osób) - </t>
    </r>
    <r>
      <rPr>
        <i/>
        <sz val="10"/>
        <color theme="1"/>
        <rFont val="Calibri"/>
        <family val="2"/>
        <charset val="238"/>
        <scheme val="minor"/>
      </rPr>
      <t>Rzepak ozimy w mulczu – przez uproszczenie do innowacyjności;</t>
    </r>
    <r>
      <rPr>
        <sz val="10"/>
        <color theme="1"/>
        <rFont val="Calibri"/>
        <family val="2"/>
        <charset val="238"/>
        <scheme val="minor"/>
      </rPr>
      <t xml:space="preserve">
</t>
    </r>
    <r>
      <rPr>
        <b/>
        <sz val="10"/>
        <color theme="1"/>
        <rFont val="Calibri"/>
        <family val="2"/>
        <charset val="238"/>
        <scheme val="minor"/>
      </rPr>
      <t xml:space="preserve">10. </t>
    </r>
    <r>
      <rPr>
        <sz val="10"/>
        <color theme="1"/>
        <rFont val="Calibri"/>
        <family val="2"/>
        <charset val="238"/>
        <scheme val="minor"/>
      </rPr>
      <t xml:space="preserve">SZKOLENIE (60 osób) - </t>
    </r>
    <r>
      <rPr>
        <i/>
        <sz val="10"/>
        <color theme="1"/>
        <rFont val="Calibri"/>
        <family val="2"/>
        <charset val="238"/>
        <scheme val="minor"/>
      </rPr>
      <t>Innowacje w produkcji trzody chlewnej.</t>
    </r>
  </si>
  <si>
    <r>
      <t>Ad. 2 W ramach dotacji celowej sfinansowano w 2018 r. koszty funkcjonowania, na które składały się koszty wynagrodzenia dla pracowników zespołu SIR - 1,5 etatu pracownika merytorycznego w okresie od 01.01-26.02.2018 r. następnie 2 etaty pracowników merytorycznych od 26.02-31.12.2018 r. którzy tworzą zespół i realizują powierzone zadania ds. innowacji w rolnictwie i na obszarach wiejskich w Lubuskim Ośrodku Doradztwa Rolniczego z siedzibą w Kalsku. Na koszty funkcjonowania w 2018 r. składały się delegacje krajowe oraz zagraniczne pracowników zespołu SIR w łącznej ilości 22 sztuk. W ramach ułatwiania tworzenia sieci kontaktów pomiędzy partnerami zespół SIR pozbawiony brokera, promował innowacje w zakresie sieci na rzecz rolnictwa i na obszarach wiejskich poprzez artykuły w miesięczniku "Lubuskie Aktualności Rolnicze" oraz stronie internetowej www.lodr.pl (</t>
    </r>
    <r>
      <rPr>
        <sz val="10"/>
        <color theme="1"/>
        <rFont val="Calibri"/>
        <family val="2"/>
        <charset val="238"/>
        <scheme val="minor"/>
      </rPr>
      <t>zakładka: I</t>
    </r>
    <r>
      <rPr>
        <i/>
        <sz val="10"/>
        <color theme="1"/>
        <rFont val="Calibri"/>
        <family val="2"/>
        <charset val="238"/>
        <scheme val="minor"/>
      </rPr>
      <t>nnowacje</t>
    </r>
    <r>
      <rPr>
        <sz val="10"/>
        <color theme="1"/>
        <rFont val="Calibri"/>
        <family val="2"/>
        <charset val="238"/>
        <scheme val="minor"/>
      </rPr>
      <t xml:space="preserve">). Na rzecz wspierania innowacji w rolnictwie i na obszarach wiejskich zespół SIR na bieżąco informował uczestników (doradców) miesięcznych narad organizowanych w siedzibie LODR w Kalsku o idei działania SIR, obowiązującymi oraz projektowanymi zmianami reglamentacji prawnej, działaniem "Współpraca" w ramach PROW 2014-2020. Ułatwianie tworzenia sieci kontaktów pomiędzy partnerami KSOW w ramach SIR na poziomie wojewódzkim w 2018 r. związane było z organizacją 10 operacji własnych w ramach PO na lata 2018-2019 w tym wyjazdów studyjnych (3), szkoleń (5) oraz konferencji (2 w tym jednej dwuetapowej). Z Działania 2 zrealizowano 9 operacji własnych oraz 1 z Działania 5. Ważnym aspektem promocji SIR poza Planem Operacyjnym i związanymi z nim operacjami własnymi były stoiska informacyjne o działaniach Sieci na rzecz innowacji i na obszarach wiejskich, w tym o działaniu "Współpraca" w wojewódzwie lubuskim podczas dwudniowych Targów Rolniczych w Kalsku (02-03.06.2018 r.) oraz w oddziale zamiejscowym w Gliśnie (27.05.2018 r.) i Dni Pola Kukurydzy w Świebodzinie (13.06.2018 r.), Wojewódzkiego Święta Plonów w Babimoście (09.09.2018 r.), Lubuskim Kiermaszu Ogrodniczym w Kalsku (16.09.2018 r.) i Targów Rolniczych Jesień w Gliśnie (23.09.2018 r.) podczas których była możliwość nawiązania kontaktów pomiędzy zespołem SIR oraz odwiedzającymi stoisko. Podnoszenie poziomu wiedzy partnerów KSOW oraz potencjalnych podmiotów chcących tworzyć grupy operacyjne odbywało się w ramach realizowanych operacji własnych oraz spotkaniach, w tym jednym z udziałem brokera krajowego w siedzibie LODR w Kalsku. Konsekwencją zorganizowania spotkań było poszerzenie bazy partnerów o członkowstwo jednego partnera oraz zawiązanie się potencjalnej grupy operacyjnej EPI zainteresowanej stworzeniem konsorcjum w ramach naboru wniosków działania "Współpraca". Przy tym, zespół SIR w 2018 r. zdobywał wiedzę i podnosił kwalifikacje w zakresie wiedzy o SIR i działaniu "Współpraca" podczas spotkań dla brokerów oraz koordynatorów SIR organizowanych przez CDR, MRiRW. Uczestniczono wraz z partnerem bezpośrednio w dwóch Forach organizowanych przez CDR w ramach działania "Współpraca". Ponadto uczestniczono w IV posiedzeniu Grupy Tematycznej ds. innowacji w rolnictwie i na obszarach wiejskich oraz brano udział w trybie obiegowym tej Grupy. W ramach identyfikacji partnerów KSOW przeprowadzono ocenę jednego wniosku o wybór operacji pod kątem spełnienia wymagań formalnych oraz spełnienia warunków wyboru operacji dot. konkursu nr 2/2018 dla partnerów KSOW. Po zakończeniu procedury przekazano wniosek do dalszej oceny merytorycznej i finansowej CDR w Brwinowie, który ostatecznie został rozpatrzony pozytywnie. Wnioskodawca Częstochowskie Stowarzyszenie Rozwoju Małej Przedsiębiorczości w rezultacie zrezygnował z realizacji planowanej operacji. W ramach rozliczenia dotacji w ramach SIR w 2018 r. sporządzono i złożono do Agencji Restrukturyzacji i Modernizacji Rolnictwa: 2 wnioski o Przyznanie Pomocy Technicznej (WoPP) w tym 1 zakończony podpisaniem umowy a pozostały 1 wniosek znajduje się w ocenie;  3 wnioski o  Płatność Pomocy Technicznej (WOP), w tym 2 są rozliczone a pozostały 1 aktualnie znajduje się w weryfikacji. W ramach ścisłych kontaktów z CDR na bieżąco w ramach rozmów telefonicznych, e-maili dokonywano rozwiązań problemów, identyfikacji potrzeb w zakresie funkcjonowania SIR, dokumentacją Planu Działania Pomocy Technicznej, Planu Operacyjnego.                    </t>
    </r>
    <r>
      <rPr>
        <sz val="10"/>
        <color theme="1"/>
        <rFont val="Calibri"/>
        <family val="2"/>
        <scheme val="minor"/>
      </rPr>
      <t xml:space="preserve">   </t>
    </r>
    <r>
      <rPr>
        <sz val="10"/>
        <rFont val="Calibri"/>
        <family val="2"/>
        <charset val="238"/>
        <scheme val="minor"/>
      </rPr>
      <t xml:space="preserve"> </t>
    </r>
    <r>
      <rPr>
        <sz val="10"/>
        <color rgb="FFFF0000"/>
        <rFont val="Calibri"/>
        <family val="2"/>
        <charset val="238"/>
        <scheme val="minor"/>
      </rPr>
      <t xml:space="preserve">  </t>
    </r>
    <r>
      <rPr>
        <sz val="10"/>
        <color theme="1"/>
        <rFont val="Calibri"/>
        <family val="2"/>
        <scheme val="minor"/>
      </rPr>
      <t xml:space="preserve">     </t>
    </r>
  </si>
  <si>
    <t>Jednostka wdrażająca: Łódzki Ośrodek Doradztwa Rolniczego zs. w Bratoszewicach</t>
  </si>
  <si>
    <t>Stan na: 07.02.2019r.</t>
  </si>
  <si>
    <t xml:space="preserve">Komentarz: 
Zasięg lokalny/regionalny: 
wyjazdy studyjne: 
- Innowacyjne metody wytwarzania produktów pochodzenia pszczelego oraz sposób doboru ziół do produkcji ziołomiodów,  
- Dobre praktyki i doświadczenia przy zakładaniu grup operacyjnych na przykładzie Czech, 
- Nowoczesne technologie i problemy przy uprawie warzyw pod osłonami, 
- Wybrane przykłady tradycyjnego przetwórstwa produktów rolnych szansą na innowacyjny  rozwój małych gospodarstw w województwie łódzkim, 
- Innowacyjna hodowla świń na przykładzie rasy puławskiej w oparciu o pasze bez GMO, 
seminarium:  
- Innowacyjne technologie wykorzystywane przy budowie oraz wyposażeniu nowoczesnych chlewni, 
konferencja Partnera:  
- Innowacyjne metody produkcji roślinnej w województwie łódzkim. 
</t>
  </si>
  <si>
    <t xml:space="preserve">Komentarz:
wyjazdy studyjne (łącznie 380 osób), w tym: 
- Innowacyjne metody wytwarzania produktów pochodzenia pszczelego oraz sposób doboru ziół do produkcji ziołomiodów (30 osób x 3 dni),
- Dobre praktyki i doświadczenia przy zakładaniu grup operacyjnych na przykładzie Czech (30 osób x 3 dni), 
- Nowoczesne technologie i problemy przy uprawie warzyw pod osłonami (40 osób x 2 dni), 
- Wybrane przykłady tradycyjnego przetwórstwa produktów rolnych szansą na innowacyjny  rozwój małych gospodarstw w województwie łódzkim (30 osób x 2 dni), 
- Innowacyjna hodowla świń na przykładzie rasy puławskiej w oparciu o pasze bez GMO (30 osób x 2 dni), 
seminarium (50 osób x 1 dzień):  
- Innowacyjne technologie wykorzystywane przy budowie oraz wyposażeniu nowoczesnych chlewni (50 osób x 1 dzień), 
konferencja Partnera (50 osób x 2 dni):  
- Innowacyjne metody produkcji roślinnej w województwie łódzkim.
</t>
  </si>
  <si>
    <t xml:space="preserve"> Komentarz: 25 publikacji nna stronie internetowej Łódzkiego Ośrodka Doradztwa Rolniczego zs. w Bratoszewicach (www.lodr-bratoszewice.pl) 
oraz 7 publikacji w miesięczniku Rada (wydawnictwo Łódzkiego Ośrodka Doradztwa Rolniczego zs. w Bratoszewicach. Tytuły w miesięczniku Rada:
- "Czas na grupy operacyjne" Rada 7/8/2018
- "Czeskie pomysły na innowacje w rolnictwie" Rada 9/2018
- "Współpraca w listopadzie" 10/2018
- "W Spale o problemach wsi i rolnictwa" Rada 10/2018
- "O ziołomiodach na Podlasiu", "Innowacyjne warzywa pod osłonami" Rada 11/2018
- "Nowoczesne technologie uprawy warzyw pod osłonami" Rada 12/2018</t>
  </si>
  <si>
    <t xml:space="preserve">Komentarz: W 2018 r. Łódzki Ośrodek Doradztwa Rolniczego zs. w Bratoszewicach prowadził rozmowy o partnerstwie w ramach SIR i realizacji wspólnych projektów w ramach działania „Współpraca”  z Instytutem Ogrodnictwa w Skierniewicach, Przemysłowym Instytutem Maszyn Rolniczych                          w Poznaniu, Uniwersytetem Przyrodniczym w Poznaniu oraz z Instytutem Biotechnologii Przemysłu Rolno-Spożywczego im. Wacława Dąbrowskiego. Wszystkie wymienione jednostki naukowe ŁODR pozyskał do działania „Współpraca”. 
Ponadto wśród partnerów warto wymienić spółkę z ograniczoną odpowiedzialnością - Smart Soft Solutions, która realizuje działalność z zakresu rozwiązań innowacyjnych dla rolnictwa. W swoim doświadczeniu ma dwa projekty dofinansowane ze środków UE i polegające na wdrażaniu innowacyjnych rozwiązań w rolnictwie. 
W konsultacjach uczestniczyli: pszczelarze z województwa łódzkiego, przedstawiciel klastra łódzkiego zainteresowany łańcuchem dostaw, Stowarzyszenie Wies Polska zainteresowane łańcuchem dostaw, producenci warzyw, producenci ziemniaków, rolnik zainteresowany nowoczesnymi osłonami dla pomidorów cherry i sałaty, naukowiec - właścciel laboratorium w zakresie badań nicieni w glebie w uprawie warzyw, właściciel firmy dystrybującej drony do wykorzystania w rolnictwie.
</t>
  </si>
  <si>
    <t xml:space="preserve">Komentarz:
Wyżej wymienione zadania realizowano w następującym składzie:
1. Pracownik merytoryczny – główny specjalista ds. innowacji - pełen etat 
2. Pracownik merytoryczny – specjalista ds. innowacji - pełen etat
3. Pracownik merytoryczny – starszy specjalista – broker innowacji - pełen etat
inicjatywy teatyczne (10 inicjatyw):
- liczba osob biorących udział w spotkaniach: 
- Polski Ocet Owocowy: 10 osób;
- Zdrowe zwierzeta zdrowa zywność ThermoEYE: 9 osób;
- Red Apple: 8 osób;
Grupy operacyjne z udziałem Przemysłowego Instytutu Maszyn Rolniczych w Poznaniu, rolnikami i ŁODR zs. w Bratoszewicach:
- Innowacyjna technologia zbioru roślin okopowych i warzyw korzeniowych, Warzywa sieradzkie - polish vegetables, Healthy onion: 9 osób;
- zastosowanie rzepaku w żywieniu trzody chlewnej: 11 osób;
- zastosowanie mikroorganizmów w uprawie warzyw oraz zapobieganie skutkom suszy:6 osób;
- otoczkowanie ziaren kukurydzy: 6 osób:
 - tworzenie łańcucha dostaw: 9 osób.
</t>
  </si>
  <si>
    <t xml:space="preserve">Komentarz:
Zasięg lokalny/regionalny: 
wyjazdy studyjne: 
- Innowacyjne metody wytwarzania produktów pochodzenia pszczelego oraz sposób doboru ziół do produkcji ziołomiodów,  
- Dobre praktyki i doświadczenia przy zakładaniu grup operacyjnych na przykładzie Czech, 
- Nowoczesne technologie i problemy przy uprawie warzyw pod osłonami, 
- Wybrane przykłady tradycyjnego przetwórstwa produktów rolnych szansą na innowacyjny  rozwój małych gospodarstw w województwie łódzkim, 
- Innowacyjna hodowla świń na przykładzie rasy puławskiej w oparciu o pasze bez GMO, 
seminarium:  
- Innowacyjne technologie wykorzystywane przy budowie oraz wyposażeniu nowoczesnych chlewni, 
konferencja Partnera:  
- Innowacyjne metody produkcji roślinnej w województwie łódzkim. </t>
  </si>
  <si>
    <t>Komentarz:  w zrealizowanych wydarzeniach wzięli udział pszczelarze, rolnicy, mieszkańcy obszarów wiejskich, pracownicy naukowi, doradcy rolni,  hodowcy, weterynarze, inseminatorzy, producenci trzody chlewnej, potencjalni członkowie grup operacyjnych, rolnicy, mieszkańcy obszarów wiejskich, pracownicy naukowi, przetwórcy warzyw, przedsiębiorcy, w tym:
wyjazdy studyjne (łącznie 380 osób), w tym: 
- Innowacyjne metody wytwarzania produktów pochodzenia pszczelego oraz sposób doboru ziół do produkcji ziołomiodów (30 osób x 3 dni),
- Dobre praktyki i doświadczenia przy zakładaniu grup operacyjnych na przykładzie Czech (30 osób x 3 dni), 
- Nowoczesne technologie i problemy przy uprawie warzyw pod osłonami (40 osób x 2 dni), 
- Wybrane przykłady tradycyjnego przetwórstwa produktów rolnych szansą na innowacyjny  rozwój małych gospodarstw w województwie łódzkim (30 osób x 2 dni), 
- Innowacyjna hodowla świń na przykładzie rasy puławskiej w oparciu o pasze bez GMO (30 osób x 2 dni), 
seminarium (50 osób x 1 dzień):  
- Innowacyjne technologie wykorzystywane przy budowie oraz wyposażeniu nowoczesnych chlewni (50 osób x 1 dzień), 
konferencja Partnera (50 osób x 2 dni):  
- Innowacyjne metody produkcji roślinnej w województwie łódzkim.</t>
  </si>
  <si>
    <t xml:space="preserve">Komentarz: W celu utworzenia grup operacyjnych EPI i rozpoczęcia współpracy przy wspólnych projektach  odbyło się 40 spotkań.  
Powstało 6 grup operacyjnych w ramach działania „Współpraca” tj.:
- Polski Ocet Owocowy,  
- Red Apple,
– Zdrowe zwierzęta – zdrowa żywność ThermoEye,
- Innowacyjna technologia zbioru roślin okopowych i warzyw korzeniowych,
- Warzywa sieradzkie - polish vegetables,
- Healthy onion.
Ponadto przygotowywano grupy operacyjne w zakresie uprawy kukurydzy, zastosowania mikroorganizmów w uprawie warzyw oraz zapobiegania skutkom suszy. Ponadto spotkania były realizowane z grupą tematyczną zainteresowaną utworzeniem łańcucha dostaw.
</t>
  </si>
  <si>
    <t xml:space="preserve">W skład kosztow dotyczących funkcjonowania wchodziły wydatki na: wynagrodzenia pracowników wraz z kosztami pracodawcy, materiały biurowe i eksploatacyjne, wyposażenie biura pracowników SIR, koszty podróży służbowych pracowników SIR.  </t>
  </si>
  <si>
    <t>Jednostka wdrażająca: Małopolski Ośrodek Doradztwa Rolniczego z/s w Karniowicach</t>
  </si>
  <si>
    <t xml:space="preserve">Komentarz:
Operacje o zasięgu lokalnym/regionalnym z naciskiem na "Transfer wiedzy i innowacje":
1) Innowacyjne formy aktywizacji gospodarstw agroturystycznych, edukacyjnych i opiekuńczych na obszarze Małopolski - 1 konferencja.
2) Innowacyjne technologie w przetwórstwie mięsnym na poziomie gospodarstwa rolnego - 1 szkolenie.
3) Innowacje w chowie i hodowli bydła - 1 wyjazd studyjny.
4) Innowacyjne dla Małopolski metody i formy sprzedaży płodów rolnych bezpośrednio z pola i gospodarstwa - 1 wyjazd studyjny, 1 konferencja.
5) Innowacyjne rozwiązania w małych gospodarstwach rolnych w województwie małopolskim - 1 konferencja.
</t>
  </si>
  <si>
    <t>Komentarz:
Operacje o zasięgu lokalnym/regionalnym z naciskiem na "Transfer wiedzy i innowacje":
1) Innowacyjne formy aktywizacji gospodarstw agroturystycznych, edukacyjnych i opiekuńczych na obszarze Małopolski - 1 konferencja (70 osób).
2) Innowacyjne technologie w przetwórstwie mięsnym na poziomie gospodarstwa rolnego - 1 szkolenie (20 osób).
3) Innowacje w chowie i hodowli bydła - 1 wyjazd studyjny (25 osób).
4) Innowacyjne dla Małopolski metody i formy sprzedaży płodów rolnych bezpośrednio z pola i gospodarstwa - 1 wyjazd studyjny (20 osób), 1 konferencja (57 osób).
5) Innowacyjne rozwiązania w małych gospodarstwach rolnych w województwie małopolskim - 1 konferencja (50 osób).</t>
  </si>
  <si>
    <t xml:space="preserve">Komentarz:
Publikacje ukierunkowane "Transfer wiedzy i innowacje" zostały wydane w ramach operacji:
1) Innowacyjne formy aktywizacji gospodarstw agroturystycznych, edukacyjnych i opiekuńczych na obszarze Małopolski - 1 publikacja.
2) Innowacyjne technologie w przetwórstwie mięsnym na poziomie gospodarstwa rolnego - 1 publikacja.
3) Innowacyjne dla Małopolski metody i formy sprzedaży płodów rolnych bezpośrednio z pola i gospodarstwa - 1 publikacja.
</t>
  </si>
  <si>
    <t xml:space="preserve">Komentarz:
Operacje szkoleniowe z naciskiem na "Transfer wiedzy i innowacje":
1) Innowacyjne formy aktywizacji gospodarstw agroturystycznych, edukacyjnych i opiekuńczych na obszarze Małopolski - 1 konferencja - 1 dzień.
2) Innowacyjne technologie w przetwórstwie mięsnym na poziomie gospodarstwa rolnego - 1 szkolenie - 1 dzień.
3) Innowacje w chowie i hodowli bydła - 1 wyjazd studyjny - 7 dni.
4) Innowacyjne dla Małopolski metody i formy sprzedaży płodów rolnych bezpośrednio z pola i gospodarstwa - 1 wyjazd studyjny - 5 dni , 1 konferencja - 1 dzień.
5) Innowacyjne rozwiązania w małych gospodarstwach rolnych w województwie małopolskim - 1 konferencja - 2 dni.
</t>
  </si>
  <si>
    <t>Komentarz:
Operacje szkoleniowe: 
1) Innowacyjne formy aktywizacji gospodarstw agroturystycznych, edukacyjnych i opiekuńczych na obszarze Małopolski - 1 konferencja (70 osób).
2) Innowacyjne technologie w przetwórstwie mięsnym na poziomie gospodarstwa rolnego - 1 szkolenie (20 osób).
3) Innowacje w chowie i hodowli bydła - 1 wyjazd studyjny (25 osób).
4) Innowacyjne dla Małopolski metody i formy sprzedaży płodów rolnych bezpośrednio z pola i gospodarstwa - 1 wyjazd studyjny (20 osób), 1 konferencja (57 osób).
5) Innowacyjne rozwiązania w małych gospodarstwach rolnych w województwie małopolskim - 1 konferencja (50 osób).
W kategorii inne (rodzaj działania szkoleniowego) umieszczono konferencje. W kategorii inne (grupy interesariuszy) umieszczono rolników, przedstawicieli instytucji działających na rzecz rolnictwa.</t>
  </si>
  <si>
    <t xml:space="preserve">Na koszty funkcjonowania składają się koszty wynagrodzeń pracowników Małopolskiego Ośrodka Doradztwa Rolniczego zaangażowanych w realizację zadań na rzecz SIR oraz koszty ich podróży służbowych. </t>
  </si>
  <si>
    <t>Jednostka wdrażająca: Mazowiecki Ośrodek Doradztwa Rolniczego w Warszawie</t>
  </si>
  <si>
    <t xml:space="preserve">Komentarz:
1. Technologia produkcji olejów roślinnych innowacyjnymi metodami - wyjazd studyjny
2. Rozwój innowacyjnych form przedsiębiorczości pozarolniczej na obszarach wiejskich - wyjazd studyjny
3. Mieszanki traw jako innowacyjna baza pasz objętościowych - szkolenie
4. Przetwórstwo mleka - sposób na podniesienie dochodu w gospodarstwie - szkolenie
5. Poszukiwanie partnerów do działania "Współpraca" inspirowane ekologią - wyjazd studyjny
6. Innowacyjne metody uprawy truskawek - szkolenie
7. Innowacyjna gospodarka pasieczna - szkolenie
8. Wielokierunkowość gospodarstwa zielarskiego sposobem na rozwój obszarów wiejskich - wyjazd studyjny
9. Innowacyjne proekologiczne metody zwalczania chorób odglebowych w uprawie papryki pod osłonami - szkolenie
10. Współpraca międzysektorowa, jako podstawa poznania innowacji w rolnictwie - 5 szkoleń, wyjazd studyjny, konferencja 
</t>
  </si>
  <si>
    <t xml:space="preserve">Komentarz:
1. Technologia produkcji olejów roślinnych innowacyjnymi metodami – 1-dniowy wyjazd studyjny (32 uczestników)
2. Rozwój innowacyjnych form przedsiębiorczości pozarolniczej na obszarach wiejskich – 1-dniowy wyjazd studyjny (40 uczestników)
3. Mieszanki traw jako innowacyjna baza pasz objętościowych – szkolenie (60 uczestników)
4. Przetwórstwo mleka - sposób na podniesienie dochodu w gospodarstwie – szkolenie (35 uczestników)
5. Poszukiwanie partnerów do działania "Współpraca" inspirowane ekologią – 2-dniowy wyjazd studyjny (40 uczestników)
6. Innowacyjne metody uprawy truskawek – szkolenie (65 uczestników)
7. Innowacyjna gospodarka pasieczna – szkolenie (80 uczestników)
8. Wielokierunkowość gospodarstwa zielarskiego sposobem na rozwój obszarów wiejskich – 3-dniowy wyjazd studyjny (50 uczestników)
9. Innowacyjne proekologiczne metody zwalczania chorób odglebowych w uprawie papryki pod osłonami – szkolenie (65 uczestników)
10. Współpraca międzysektorowa, jako podstawa poznania innowacji w rolnictwie - 5 szkoleń (139 uczestników), wyjazd studyjny (25 uczestników), konferencja (73 uczestników)
</t>
  </si>
  <si>
    <t xml:space="preserve">Komentarz:
1. Technologia produkcji olejów roślinnych innowacyjnymi metodami - wyjazd studyjny
2. Rozwój innowacyjnych form przedsiębiorczości pozarolniczej na obszarach wiejskich - wyjazd studyjny
3. Mieszanki traw jako innowacyjna baza pasz objętościowych - szkolenie
4. Przetwórstwo mleka - sposób na podniesienie dochodu w gospodarstwie - szkolenie
5. Poszukiwanie partnerów do działania "Współpraca" inspirowane ekologią - wyjazd studyjny
6. Innowacyjne metody uprawy truskawek - szkolenie
7. Innowacyjna gospodarka pasieczna - szkolenie
8. Wielokierunkowość gospodarstwa zielarskiego sposobem na rozwój obszarów wiejskich - wyjazd studyjny
9. Innowacyjne proekologiczne metody zwalczania chorób odglebowych w uprawie papryki pod osłonami - szkolenie
10. Współpraca międzysektorowa, jako podstawa poznania innowacji w rolnictwie - 5 szkoleń, wyjazd studyjny, konferencja </t>
  </si>
  <si>
    <t>Koszty funkcjonowania: utrzymanie 1 etatu koordynatora i 2 brokerów w wymiarze 50% etatu.</t>
  </si>
  <si>
    <t>Jednostka wdrażająca: Opolski Ośrodek Doradztwa Rolniczego z siedzibą w Łosiowie</t>
  </si>
  <si>
    <t>Komentarz:
1. Aktualna sytuacja producentów rolnych w zakresie organizacji sprzedazy zbóż i rzepaku - szkolenie;                                                                                                                                                                                                                                       2. Krótkie łańcuchy dostaw w rolnictwie- regulacje prawne i podatkowe  - szkolenie;                                                                                                                                                                                                                                                                               3. Innowacyjne metody oceny autentyczności i jakości miodu - szkolenie;  konferencja 2 dni                                                                                                                                                                                                                                                                                               4. "Kooperatywy spożywcze jako innowacyjna i efektowna forma prowadzenia działalności  na obszarach wiejskich" - cykl 3 szkoleń.                                                                                                                                                                         5. "Innowacyjne metody produkcji roślinnej w województwie opolskim " konferencja 2 dni</t>
  </si>
  <si>
    <t>Komentarz:
1. Aktualna sytuacja producentów rolnych w zakresie organizacji sprzedazy zbóż i rzepaku - 30 osób 
2. Krótkie łańcuchy dostaw w rolnictwie- regulacje prawne i podatkowe - 15 osób;
3. Innowacyjne metody oceny autentyczności i jakości miodu - 15 osób;                                                                                                                                                                                                                                                                                                4. "Kooperatywy spożywcze jako innowacyjna i efektowna forma prowadzenia działalności na obszarach wiejskich" - 60 osób (3x20 osób).                                                                                                                                                          5. "Innowacyjne metody produkcji roślinnej w województwie opolskim " -  konferencja 2 dni -51 osób</t>
  </si>
  <si>
    <t xml:space="preserve"> Komentarz:
Cykl 10 specjalistycznych broszur nt. innowacyjnych zastosowań w rolnictwie, łączny nakład 5 000 egzemplarzy:                                                                                                                                                                                                                 1. Analiza opłacalności innowacji. Jak obliczyć czy nowy pomysł się opłaca?, 25 stron, format A5 , łączny nakład  egzemplarzy;                                                                                                                                                                 2. Innowacje marketingowe. Jak wykorzystać marketing w prowadzonej działalności?, 25 stron, format A5 , łączny nakład  egzemplarzy;                                                                                                                                               3. Innowacje w gospodarstwie rolnym. Jakie innowacje można wdrożyć w gospodarstwie rolnym?, 25 stron, format A5 , łączny nakład  egzemplarzy;                                                                                                                          4. Kooperatywy spożywcze: co to jest? Jak działa? Dlaczego warto z nimi współpracować? Kooperatywa spożywcza nowa forma współpracy rolnika i indywidualnego odbiorcy, 25 stron, format A5 , łączny nakład  egzemplarzy;                                                                                                                                                                                                                                                                                            5. Ochrona bioróżnorodności. Owady zapylające –dlaczego są tak ważne i jak im pomagać, 25 stron, format A5 , łączny nakład  egzemplarzy;                                                                                                                                       6. Wykorzystanie ziół w tworzeniu oferty gospodarstwa agro i ekoturystycznego. Zioła jako produkt turystyczny, 25 stron, format A5 , łączny nakład  egzemplarzy;                                                                                                   7. Innowacyjne technologie w uprawie buraka cukrowego, 25 stron, format A5 , łączny nakład  egzemplarzy;                                                                                                                                                                                                   8. Zagrożenia i współczesne metody ochrony jakości wód na obszarach użytkowanych rolniczo, 25 stron, format A5 , łączny nakład  egzemplarzy;                                                                                                                               9. Produkcja i sprzedaż wędlin, w krótkim łańcuchu dostaw. Praktyczna realizacja wymagań weterynaryjnych, 25 stron, format A5 , łączny nakład  egzemplarzy;                                                                                                 10. Innowacyjne nawozy wolnodziałające w praktyce ogrodniczej i rolniczej, 25 stron, format A5 , łączny nakład  egzemplarzy.                                                                        11. "Koperatywy spożywcze jako innowacyjna i efektowna forma prowadzenia działalności na obszarach wiejskich, 22 strony, format A5, łączny nakład 200 egzemplarzy.</t>
  </si>
  <si>
    <t>Komentarz:
1. Aktualna sytuacja producentów rolnych w zakresie organizacji sprzedazy zbóż i rzepaku - 30 osób 
2. Krótkie łańcuchy dostaw w rolnictwie- regulacje prawne i podatkowe - 15 osób;
3. Innowacyjne metody oceny autentyczności i jakości miodu - 15 osób;                                                                                                                                                                                                                                                                                                4. "Kooperatywy spożywcze jako innowacyjna i efektowna forma prowadzenia działalności na obszarach wiejskich" - 60 osób (3x20 osób).                                                                                                                                                         5. "Innowacyjne metody produkcji roślinnej w województwie opolskim " [inne] - konferencja 2 dni - 51 osób</t>
  </si>
  <si>
    <t>Komentarz:
1. Aktualna sytuacja producentów rolnych w zakresie organizacji sprzedazy zbóż i rzepaku - 30 osób 
2. Krótkie łańcuchy dostaw w rolnictwie- regulacje prawne i podatkowe - 15 osób;
3. Innowacyjne metody oceny autentyczności i jakości miodu - 15 osób;                                                                                                                                                                                                                                                                                                4. "Kooperatywy spożywcze jako innowacyjna i efektowna forma prowadzenia działalności na obszarach wiejskich" - 60 osób (3x20 osób).                                                                                                                                                             5. "Innowacyjne metody produkcji roślinnej w województwie opolskim " [inne] - konferencja 2 dni -51 os.</t>
  </si>
  <si>
    <t xml:space="preserve">1. Koszty związane z planem działania </t>
  </si>
  <si>
    <t xml:space="preserve">Funkcjonowanie SIR 01.01.2018 r. - 31.12.2018 r. w tym koszty wynagrodzeń pracowników tj. 1 etat brokera oraz 2x0,5 etatu koordynatorzy, koszty rodzajowe w ramach wydatków bieżących takich jak: wyjazdy słuzbowe, delegacje, uczestnictwo w szkoleniach, zakup materiałów biurowych, oprogramowania do komputerów oraz doposażenie stanowisk pracy. W ramach funkcjonowania Sieci Opolski Ośrodek Doradztwa Rolniczego w Łosiowie brał udział w 5 spotkaniach informacyjno-szkoleniowych dla pracowników WODR wykonujących zadania na rzecz SIR.  Przeprowadził 1 spotkanie konsultacyjne dot. rozwiązań odpowiadających potrzebom i problemom związanym z funkcjonowaniem SIR, w tym wybór obszaru tematycznego operacji do Planu operacyjnego KSOW w zakresie SIR na lata 2018-2019. Zorganizował 2 spotkania w ramach ułatwiania tworzenia sieci kontaktów pomiędzy partnerami KSOW w ramach SIR  w województwie. Zorganizował 6 spotkań  o tematyce „Współpraca” – zasady funkcjonowania  i finansowania dla potencjalnych uczestników grup operacyjnych/ok 218 osób.  Ponadto przeprowadzono 7 indywidualnych konsultacji z istniejącymi lub potencjalnymi grupami operacyjnymi EPI. Przeprowadził ponad 7 indywidualnych spotkań z przedstawicielami jednostek naukowych będących partnerami SIR województwa opolskiego, w tym Uniwersytetem Opolskim, Politechniką Opolską .Przykłady dobrych praktyk w zakresie wdrażania innowacji w rolnictwie z terenu woj. opolskiego. Informacje o wynikach badań naukowych, grupach operacyjnych i pracach rozwojowych były rozpowszechnianie poprzez podstronę SIR OODR, ponadto informacje te były rozpowszechnianie podczas innych wydarzeń organizowanych przez OODR. Dzięki tym działaniom informacje o wynikach badań i prowadzonych pracach rozwojowych przekazywane były szerokiej grupie odbiorców. W ramach realizacji zadania broker innowacji zatrudniony w OODR przeprowadził 6 konsultacji oraz udzielił porad potencjalnym członkom grup operacyjnych EPI. Tematyka porad i informacji dotyczyła: formalnych zasad organizacji grup, przygotowywania wniosku o przyznanie pomocy w ramach działania „Współpraca”, kojarzenia różnych podmiotów w ramach jednej grupy. W ramach promocji SIR OODR wziął udziął w następujących przedsięwzięciach: a)Międzynarodowe targi ogrodnicze „Wiosna Kwiatów”: - 1 stoisko informacyjne / ok. 20 tys. osób b)Przekazanie informacji o tworzeniu i funkcjonowaniu SIR w województwie opolskim podczas 3 podsumowań działalności doradczej:-3 stoiska informacyjne. Stoisko informacyjne podczas targów rolniczych AgroCzas - ok. 3 tys. osób. Stoisko informacyjne podczas targów rolniczych Opolagra – ok. 45 tys. osób. Publikacja 14 artykułów w czasopiśmie. Nakład - 2 750 sztuk o zasięgu wojewódzkim oraz  zamieszczenie 25 informacji na stronie internetowej www.sir.oodr.pl. Stoisko informacyjne SIR podczas Dożynek Wojewódzkich w Paczkowie – 1 stoisko/ok 20 tys. osób. Uczestnictwo w wojewódzkich grupach roboczych i grupach tematycznych KSOW udział 2 pracowników OODR będących członkami Grupy tematycznej ds. SIR w posiedzeniu – 2 posiedzenia. W okresie objętym umową realizowane było pięć operacji własnych na terenie województwa opolskiego   w ramach Planu operacyjnego KSOW na lata 2018-2019 w zakresie SIR. Prowadzone były czynności związane z: przygotowaniem do realizacji operacji, w tym wyłonieniem wykonawców i dostawców poszczególnych produktów i usług, z zachowaniem trybu konkurencyjnego, współpracą z wykonawcami oraz pracownikami merytorycznymi OODR w zakresie realizacji operacji zgodnie z założeniami wniosku, konsultacje w zakresie właściwego oznaczania operacji zgodnie z Księgą Wizualizacji Znaku PROW na lata 2014-2020, a także prowadzenie działań ewaluacyjnych  i rozliczeniowych. Nastąpiła realizacja 1 operacji przez partnerów krajowej sieci obszarów wiejskich w ramach Planu operacyjnego KSOW na lata 2018-2019. Opolski Ośrodek Doradztwa Rolniczego w Łosiowie na bieżąco współpracował z Centrum Doradztwa Rolniczego w Brwinowie Oddział w Warszawie w zakresie:  przygotowywania propozycji operacji do Planu operacyjnego KSOW na lata 2018-2019  w zakresie SIR; opracowania półrocznej informacji z realizacji Planu operacyjnego KSOW na lata 2018-2019          w zakresie SIR, przygotowanie sprawozdania nt. realizacji Planu operacyjnego na lata 2016-2017 w zakresie dot. SIR, przygotowanie rocznego sprawozdania z realizacji planu działania   za 2017 r. ponadto pracownicy Ośrodka konsultowali zidentyfikowane problemy dotyczące SIR oraz prowadzili trwałą współpracę z pracownikami Centrum Doradztwa Rolniczego w Brwinowie Oddział w Warszawie w zakresie funkcjonowania Sieci na rzecz innowacji w rolnictwie i na obszarach wiejskich. Opolski Ośrodek Doradztwa Rolniczego w Łosiowie współpracował  z : 
-Ministerstwem Rolnictwa i Rozwoju Wsi w zakresie podnoszenia wiedzy i kwalifikacji pracowników Ośrodka oraz w zakresie sprawozdawczości wydatkowania dotacji, kwalifikowalności ponoszonych  kosztów, opracowywania analiz, statystyk wykorzystywania środków w ramach PT PROW 2014-2020  oraz przygotowywania prognoz na lata 2020 -2023 związanych z funkcjonowaniem Sieci na rzecz innowacji w rolnictwie i na obszarach wiejskich.
- Agencją Restrukturyzacji i Modernizacji Rolnictwa w zakresie oceny wniosków, warunków i trybu rozliczania, wypłacania oraz zwracania pomocy technicznej przyznawanej przez Agencję na rzecz Ośrodka. 
 -Pracownikami naukowymi Politechniki Opolskiej i Uniwersytetu Opolskiego, którzy aktywnie włączali się w proces funkcjonowania SIR na poziomie wojewódzkim, w tym tworzenia sieci potencjalnych partnerów SIR, m.in. poprzez udział w spotkaniach informacyjno-szkoleniowych, zarówno w roli recenzenta, uczestnika  jak i wykładowcy.
</t>
  </si>
  <si>
    <t>w tym wydarzenia z tab. 1, narzędzia komunikacji tab. 2</t>
  </si>
  <si>
    <t>2. Koszty funkcjonowania (wszystkie koszty administracyjne, materiały, koordynacja itp..)</t>
  </si>
  <si>
    <t xml:space="preserve">Jednostka wdrażająca:Podkarpacki  Ośrodek Doradztwa Rolniczego z siedzibą w Boguchwale </t>
  </si>
  <si>
    <t xml:space="preserve">Komentarz:
1. konferencja ,,Profilaktyka prozdrowotna ''  podczas której poruszana była tematyka  dot. zadań realizowanych w ramach  Sieci na rzecz innowacji w rolnictwie i na obszarach wiejskich, w tym działanie ,,Współpraca '' w ramach PROW  - 1
2. Warsztaty naukowe pt. ,, Postęp technologiczny w uprawie roślin strączkowych'' PODR przy współudziale Instytuut Uprawy Nawożenia i Gleboznastwa Państwowego Instytutu Badawczego w Puławach - 1 
3..Konferencja pt. ,, Szanse i wyzwania podkarpackiego rolnictwa i obszarów wiejskich'' organizowana przez  orazUrząd Marszalkowski Województwa Podkarpackiego  oraz Podkarpacki Urząd Wojeódzki   poświęcona rozwoju rolnictwa i obszarów wiejskich w regionie , na której zostało przedstawiona tematyka  dotycząca innowacyjności doradztwa rolniczego, jak też podniesienie jakości i efektywności usług doradczych w województwie podkarpackim''  - 1
4..Weterynaryjno-ekonomiczne aspekty produkcji trzody chlewnej  - 1
5. Konferencja ,, Integrowana ochrona warzyw '' -1
6.  Konferencja Technologiczno - ekonomiczne aspekty chowu bydła - 1 
7. Szkolenie ,, e-wniosek Plus'' na którym dodatkowo została poruszana tematyka związana z dzialaniem współpraca w ramach PROW 2014-2020 - 1 
8. konferencja ,, Integrowana ochrona rzepaku przed chorobami'' - 1 
9. Konferencja  ,, Agrotechnika uprawy owoców miękkich''- 1 
10.  Konferencja ,,Innowacyjność agroturystyki i turystyki wiejskiej ''- 1 
11. konferencja - ,,Różnorodność gatunków odmian 1  
12. Konferencja - ,, Innowacyjne podejście kobiet do zdrowia ''- 1 
13.  spotkania informacyjno szkoleniowe organizo wane przez instytucje zewnętrzne (np. CDR, MRiRW, ARiMR ) w których uczestniczyli pracownicy działający na rzecz SIR - 9 spotkań 
14. Zorganizowanie stoiska wystawienniczego  podczas imprez masowych ( Dni Otwartych Dzrzwi PODR,  Ogólnopolska Wystawa Zwierząt Hodowlanych, Pożegnanie wkacji w Rudawce Rymanowskiej, XXIII Targi Rzemiosła i Przedsiębiorczości i Leśnictwa - Agrobieszczady w Lesku 2018, XII Jesiennej  Giełdy Ogrodniczej 2018,  Międzynarodowe Targi Produktów i Żywności Wysokiej Jakości ,,Ekogala 2018''  Malinowe Święto , Dżynki Gminne - ( 21 stoisk)  -  ( Razem 27 stoisk informacyjnych) .
15 Seminarium dot nowatorskiej uprawy owoców oraz produkcji wina jako działania na rzecz tworzenia sieci kontaktów w zakresie wdrażania innowacji na obszarach wiejskich - 1
16. Seminarium dot. nowatorskiej uprawy i przetwórstwa owocow jako działania na rzecz poszukiwania partnerów KSOW do współpracy w ramach działania ,,Współpraca'' - 1 
17. Wyjazd studyjny  dot nowatorskiej uprawy owoców oraz produkcji wina jako działania na rzecz tworzenia sieci kontaktów w zakresie wdrażania innowacji na obszarach wiejskich - 1 
18. Wyjazd studyjny  dotyczący uprawy i przetwórstwa owoców  jako działania  na rzecz  poszukiwanie partnerów KSOW do współpracy w ramach działania „Współpraca’’ oraz  poznania zagranicznych  doświadczeń przydatnych w tworzeniu i funkcjonowaniu grup operacyjnych  . - 1 </t>
  </si>
  <si>
    <t>Komentarz:
1. konferencja ,,Profilaktyka prozdrowotna ''  podczas której poruszana była tematyka  dot. zadań realizowanych w ramach  Sieci na rzecz innowacji w rolnictwie i na obszarach wiejskich, w tym działanie ,,Współpraca '' w ramach PROW - 160 osób
2. Warsztaty naukowe pt. ,, Postęp technologiczny w uprawie roślin strączkowych'' PODR przy współudziale Instytuut Uprawy Nawożenia i Gleboznastwa Państwowego Instytutu Badawczego w Puławach - 150 osób
3..Konferencja pt. ,, Szanse i wyzwania podkarpackiego rolnictwa i obszarów wiejskich'' organizowana przez  orazUrząd Marszalkowski Województwa Podkarpackiego  oraz Podkarpacki Urząd Wojeódzki   poświęcona rozwoju rolnictwa i obszarów wiejskich w regionie , na której zostało przedstawiona tematyka  dotycząca innowacyjności doradztwa rolniczego, jak też podniesienie jakości i efektywności usług doradczych w województwie podkarpackim''  150 osób
4..Weterynaryjno-ekonomiczne aspekty produkcji trzody chlewnej  - 105 osób
5. Konferencja ,, Integrowana ochrona warzyw ''  - 100 osób
6.  Konferencja Technologiczno - ekonomiczne aspekty chowu bydła  - 120 osób
7. Szkolenie ,, e-wniosek Plus'' na którym dodatkowo została poruszana tematyka związana z dzialaniem współpraca w ramach PROW 2014-2020 - 80 osób 
8. konferencja ,, Integrowana ochrona rzepaku przed chorobami'' - 100 osób
9. Konferencja  ,, Agrotechnika uprawy owoców miękkich''- 100 osób
10.  Konferencja ,,Innowacyjność agroturystyki i turystyki wiejskiej ''- 80 osób
11. konferencja - ,,Różnorodność gatunków odmian - 50 osób
12. Konferencja - ,, Innowacyjne podejście kobiet do zdrowia ''-  160 osób
13. spotkania informacyjno szkoleniowe organizoqwane przez instytucje zewnętrzne (np. CDR, MRiRW, ARiMR ) w których uczestniczyli pracownicy działający na rzecz SIR - 18 osób 
14. . Zorganizowanie stoiska wystawienniczego  podczas imprez masowych ( Dni Otwartych Dzrzwi PODR,  Ogólnopolska Wystawa Zwierząt Hodowlanych, Pożegnanie wkacji w Rudawce Rymanowskiej, XXIII Targi Rzemiosła i Przedsiębiorczości i Leśnictwa - Agrobieszczady w Lesku 2018, XII Jesiennej  Giełdy Ogrodniczej 2018,  Międzynarodowe Targi Produktów i Żywności Wysokiej Jakości ,,Ekogala 2018'' Malinowe Święto, Dożynki Gminne - ( 21 stoisk)  -  ( Razem 27 stoisk wnformacyjnych)  - liczba uczestników wydarzeń - szacowana liczba uczestników 59 500
15 Seminarium dot nowatorskiej uprawy owoców oraz produkcji wina jako działania na rzecz tworzenia sieci kontaktów w zakresie wdrażania innowacji na obszarach wiejskich - 45 osób
16. Seminarium dot. nowatorskiej uprawy i przetwórstwa owocow jako działania na rzecz poszukiwania partnerów KSOW do współpracy w ramach działania ,,Współpraca'' - 45 osób
17. Wyjazd studyjny  dot nowatorskiej uprawy owoców oraz produkcji wina jako działania na rzecz tworzenia sieci kontaktów w zakresie wdrażania innowacji na obszarach wiejskich - 45 osób 
18. Wyjazd studyjny  dotyczący uprawy i przetwórstwa owoców  jako działania  na rzecz  poszukiwanie partnerów KSOW do współpracy w ramach działania „Współpraca’’ oraz  poznania zagranicznych  doświadczeń przydatnych w tworzeniu i funkcjonowaniu grup operacyjnych   - 45 osób</t>
  </si>
  <si>
    <t xml:space="preserve"> Komentarz:
1. opracowanie ulotki informacyjnej dot. działania ,,Współraca '' - nakład 1000 szt 
2. publikacja artykułów w Podkarpackich Wiadomościach Rolniczych  -  29 artykułów -  
3. publikacja artykułów na stronie internetowej PODR -35 artykuły
4. Rozpropagowanie broszury informacyjnej dot. działania ,, Współpraca ' nakład  2500 szt. </t>
  </si>
  <si>
    <t xml:space="preserve">Komentarz:
1. spotkanie informacyjne  z potencjalnymi Członkami Grup operacyjnych dot aplikacji dot. działnia ,,Współpraca'' - 25 spotkań  - 187 uczestników 
2. Spotkanie informacyjne dot zasad współpracy w ramach SIR - 3 spotkania - 99 uczestników
</t>
  </si>
  <si>
    <t xml:space="preserve">Komentarz:
 1. Wyjazd studyjny do Bawarii  – „Podejmowanie współpracy w zakresie tworzenia grup operacyjnych dotyczących produkcji i dystrybucji żywności ekologicznej na Podkarpaciu” dla 23 osób  - 1 wyjazd .
2. Uczestnictwo w III Forum Wiedzy i Innowacji - 1 x 2 dni
3. Forum Sieciowe Partnerów SIR - 1 x 2 dni 
4. Szkolenie organizowane przez ARiMR dot. naboru o przyznanie pomocy z działania M16 ,, Współpraca'' 1 (1 - dniowe)
</t>
  </si>
  <si>
    <t xml:space="preserve">Komentarz:
 1. Wyjazd studyjny do Bawarii  – „Podejmowanie współpracy w zakresie tworzenia grup operacyjnych dotyczących produkcji i dystrybucji żywności ekologicznej na Podkarpaciu” dla 23 osób  - 1 wyjazd x 4 dni - 23 osoby 
2. Uczestnictwo w III Forum Wiedzy i Innowacji - 1  - 3 osoby 
3. Forum Sieciowe Partnerów SIR - 1 - 3 osoby
4. Szkolenie organizowane przez ARiMR dot. naboru o przyznanie pomocy z działania M16 ,, Współpraca''  - 1  - 7 osób 
</t>
  </si>
  <si>
    <t xml:space="preserve">W ramach dotacji celowej finansowano 2 etaty. W wyniku uzyskanego dofinansowania PODR w Boguchwale kontynuował  prace w zakresie realizacji zadań związanych z koordynacją wdrażania Sieci na rzecz innowacji w rolnictwie
 i na obszarach wiejskich na poziomie wojewódzkim, tworzeniem sieci kontaktów pomiędzy partnerami SIR oraz udziałem 
w opracowywaniu dokumentów związanych z funkcjonowaniem SIR. 
Zadaniem PODR w ramach SIR było w szczególności dalsze rozpowszechnianie wiedzy i doświadczeń w realizacji projektów innowacyjnych w rolnictwie i na obszarach wiejskich oraz identyfikowanie i aktywizacja partnerów do współpracy w realizacji projektów innowacyjnych. 
W ramach prowadzonej działalności związanej z funkcjonowaniem i koordynacją wdrażania SIR osiągnięto następujące rezultaty:
1. zorganizowanie spotkań informacyjnych w których uczestniczyli rolnicy, posiadacze lasów, przedsiębiorcy w tym branży spożywczej, doradcy, przedstawiciele instytucji rolniczych i okołorolniczych. Uczestnicy spotkań uzyskali podstawową wiedzę z zakresu Europejskiego Partnerstwa na Rzecz Innowacji, struktury Sieci na rzecz innowacji 
w rolnictwie i na obszarach wiejskich oraz zadaniach poszczególnych instytucji oraz partnerów sieci, roli i zasadach grup operacyjnych oraz roli brokera w tworzeniu partnerstw. 
2. zorganizowanie spotkań dotyczących działania ,,Współpraca‘‘ organizowanych przez pracowników ds. SIR 
3. uczestnictwo konferencji branżowych organizowanych przez PODR na których została przedstawiona tematyka związana z funkcjonowaniem SIR oraz działaniem ,,Współpraca’’ 
4. zrealizowanie następujących działań informacyjno-promocyjnych:
- utworzenie stoiska informacyjngo podczas Dni Otwartych Drzwi Podkarpackiego Ośrodek Doradztwa Rolniczego w Boguchwale oraz Jesiennej giełdy Ogrodniczej - Boguchwała 2018.
- utworzenie stoiska informacyjnego podczas POŻEGNANIA WAKACJI W RUDAWCE RYMANOWSKIEJ 2018.
- utworzenie stoiska informacyjnego podczas XXII Targów Rzemiosła, Przedsiębiorczości i Leśnictwa - Agrobieszczady w Lesku 2018.
- Ogólnopolskiej Wystawy Królików 2018
- utworzenie stoiska informacyjnego podczas   Międzynarodowych Targów Produktów i Żywności Wysokiej Jakości EKOGALA 2018.
- utworzenie stoiska podczas Dożynek gminnych w 21 powiatach województwa Podkarpackiego 
5.  dystrybucja broszury informacyjnej dot. Działania  ,,Współpraca‘‘ podczas różnego rodzaju imprez wystawienniczych przez pracowników działających na rzecz SIR oraz pracowników Powiatowych Zespołów Doradztwa  na terenie woj. podkarpackiego,  szkoleń lub spotkań w liczbie - 2500 sztuk.
6.opracowanie i rozpropagowanie na terenie woj. podkarpackiego plakatu informacyjnego dot. SIR -  nakład 200 szt. 
7.  aktualizacja zakładki SIR na stronie internetowej PODR 
8. uczestnictwo pracowników działających na rzecz SIR w spotkaniach informacyjno-szkoleniowych organizowanych przez CDR, dzięki którym uzyskiwano wiedzę z zakresu Europejskiego Partnerstwa na Rzecz Innowacji, Struktury Sieci na rzecz innowacji w rolnictwie i na obszarach wiejskich oraz zadaniach poszczególnych instytucji oraz partnerów sieci, roli
i zasadach powstawania  grup operacyjnych oraz roli brokera w tworzeniu partnerstw, finansowaniu innowacji w rolnictwie w ramach działania „Współpraca” ze środków PROW 2014-2020 a także na temat tworzenia planów operacyjnych
i rozliczania 
10. zrealizowano 2 operacje, które przyczyniły się do zbudowania partnerskiej współpracy pomiędzy różnymi instytucjami, placówkami naukowo-badawczymi oraz podmiotami sfery doradczej, produkcyjnej obejmującej rolników, przetwórców
i operatorów rynku.
11. Zrealizowano 1 operację przez Partnera KSOW.
Realizacja ww. działań przyczyniła się do wzrostu zainteresowania Siecią na rzecz innowacji w rolnictwie i na obszarach wiejskich oraz działaniem ,, Współpraca’’ w ramach PROW 2014-2020. 
Rezultatem również był wzrost  świadomości potrzeby nawiązania współpracy między przedstawicielami nauki, praktyki, doradztwa i biznesu oraz korzystania z wzajemnych doświadczeń. Dzięki takiej współpracy będzie możliwe efektywniejsze wdrażanie innowacji w rolnictwie i na obszarach wiejskich.
Stworzenie sieci kontaktów pomiędzy doradcami, przedsiębiorcami, instytucjami naukowymi, oraz instytucjami okołorolniczymi w celu nawiązania współpracy i kontaktów pozwoli na  wymianę doświadczeń pomiędzy osobami zainteresowanymi wdrażaniem innowacji.
Działanie „Współpraca” w ramach PROW 2014-2020 to działanie zmierzające do tworzenia grup operacyjnych na rzecz innowacji, umożliwiające wdrożenie wyników badań i nowych rozwiązań do praktyki - czyli do konkretnych firm, gospodarstw, jednostek naukowych, doradztwa rolniczego.  
</t>
  </si>
  <si>
    <t>Jednostka wdrażająca: Pomorski Ośrodek Doradztwa Rolniczego w Lubaniu</t>
  </si>
  <si>
    <t>Komentarz:                                                                                                                                                                                                                                                                                                        1. "Zielone Agro Show – innowacje w hodowli bydła" - trzydniowy wyjazd studyjny;
2. "Rolnictwo ekologiczne – innowacje w produkcji  i przetwórstwie na rzecz skracania łańcucha dostaw (POMORSKI EKOFESTIWAL)" - jednodniowe seminarium;
3. "Innowacje w przedsiębiorczości na obszarach wiejskich – utworzenie potencjalnej grupy" - czterodniowy wyjazd studyjny wraz z  warsztatami;
4. "Innowacje w przedsiębiorczości na obszarach wiejskich - działania na rzecz powstania grupy operacyjnej" - seminarium wraz z wyjazdem studyjnym;
5. "Działania na rzecz powstania potencjalnej grupy operacyjnej w zakresie produkcji, marketingu i sprzedaży produktów pszczelich" - jednodniowe seminarium + czterodniowy wyjazd studyjny partnerów KSOW;                                                                                                                                                                                                                 6. "Innowacyjne metody produkcji zwierzęcej, w tym bydła mięsnego w województwie pomorskim - dwudniowa konferencja partnerów KSOW.</t>
  </si>
  <si>
    <t>Komentarz:                                                                                                                                                                                                                                                                                                       1. Wyjazd studyjny "Zielone Agro Show – innowacje w hodowli bydła" - 3 dni po 35 osób;
2. Seminarium "Rolnictwo ekologiczne – innowacje w produkcji  i przetwórstwie na rzecz skracania łańcucha dostaw (POMORSKI EKOFESTIWAL)" - 80 osób;
3. Wyjazd studyjny wraz z  warsztatami "Innowacje w przedsiębiorczości na obszarach wiejskich – utworzenie potencjalnej grupy" - cztery dni po 30 osób;
4. Seminarium wraz z wyjazdem studyjnym "Innowacje w przedsiębiorczości na obszarach wiejskich - działania na rzecz powstania grupy operacyjnej" - 72 osoby na seminarium (49 na wyjeździe studyjnym);
5. Seminarium oraz wyjazd studyjny "Działania na rzecz powstania potencjalnej grupy operacyjnej w zakresie produkcji, marketingu i sprzedaży produktów pszczelich" - 72 osoby na seminarium oraz 4 dni po 30 osób na wyjeździe studyjnym;                                                                                                                                                                                                                 6. Konferencja "Innowacyjne metody produkcji zwierzęcej, w tym bydła mięsnego w województwie pomorskim - 2 dni po 50 osób.</t>
  </si>
  <si>
    <t xml:space="preserve"> Komentarz:                                                                                                                                                                                                                                                                                                      1. Broszura „Poznaj zasady produkcji ekologicznej”, 41 stron, format A5, łączny nakład 300 egzemplarzy. Broszura powstała na potrzeby operacji własnej: Seminarium "Rolnictwo ekologiczne – innowacje w produkcji  i przetwórstwie na rzecz skracania łańcucha dostaw (POMORSKI EKOFESTIWAL)";                                                                                                                                                                                                                                                                     2. Broszura „Promocja produktów pszczelich”, 44 strony, format A5, łączny nakład 1 200 egzemplarzy. Broszura powstała na potrzeby operacji partnerskiej "Działania na rzecz powstania potencjalnej grupy operacyjnej w zakresie produkcji, marketingu i sprzedaży produktów pszczelich".</t>
  </si>
  <si>
    <t>Komentarz:                                                                                                                                                                                                                                                                                                       1. Wyjazd studyjny "Zielone Agro Show – innowacje w hodowli bydła" - 3 dni;
2. Seminarium [*INNE] "Rolnictwo ekologiczne – innowacje w produkcji  i przetwórstwie na rzecz skracania łańcucha dostaw (POMORSKI EKOFESTIWAL)" - 1 dzień;
3. Wyjazd studyjny wraz z  warsztatami "Innowacje w przedsiębiorczości na obszarach wiejskich – utworzenie potencjalnej grupy" - 4 dni;
4. Seminarium [*INNE] wraz z wyjazdem studyjnym "Innowacje w przedsiębiorczości na obszarach wiejskich - działania na rzecz powstania grupy operacyjnej" - 1 dzień seminarium, 1 dzień wyjazd studyjny;
5. Seminarium [*INNE] oraz wyjazd studyjny "Działania na rzecz powstania potencjalnej grupy operacyjnej w zakresie produkcji, marketingu i sprzedaży produktów pszczelich" - 1 dzień seminarium oraz 4 dni wyjazd studyjny;                                                                                                                                                                                                                 6. Konferencja [*INNE] "Innowacyjne metody produkcji zwierzęcej, w tym bydła mięsnego w województwie pomorskim - 2 dni.</t>
  </si>
  <si>
    <t>Komentarz:                                                                                                                                                                                                                                                                                                        1. Wyjazd studyjny [*INNE] "Zielone Agro Show – innowacje w hodowli bydła" - 3 dni po 35 osób (11 doradców PODR/pracownik SIR, 2 wykładowców z UTP Bydgoszcz, 13 rolników/członków grupy producenckiej);
2. Seminarium [*INNE] "Rolnictwo ekologiczne – innowacje w produkcji  i przetwórstwie na rzecz skracania łańcucha dostaw (POMORSKI EKOFESTIWAL)" - 80 osób (65 rolników, 6 doradców/specjalistów/przedstawiciel SIR, 9 przetwórców/przedsiębiorców eko);
3. Wyjazd studyjny wraz z  warsztatami "Innowacje w przedsiębiorczości na obszarach wiejskich – utworzenie potencjalnej grupy" - cztery dni po 30 osób (4 doradców/przedstawiciel SIR, 21 rolników/mieszkańców obszarów wiejskich, 5 przedstawicieli biznesu);
4. Seminarium [*INNE] wraz z wyjazdem studyjnym "Innowacje w przedsiębiorczości na obszarach wiejskich - działania na rzecz powstania grupy operacyjnej" - 72 osoby na seminarium [49 na wyjeździe studyjnym] (65 rolników/przedsiębiorców, 6 doradców/specjalistów, 1 przedstawiciel LGD);
5. Seminarium [*INNE] oraz wyjazd studyjny "Działania na rzecz powstania potencjalnej grupy operacyjnej w zakresie produkcji, marketingu i sprzedaży produktów pszczelich" - 72 osoby na seminarium oraz 4 dni po 30 osób na wyjeździe studyjnym (rolnicy/przedsiębiorcy);                                                                                                                                                                                                                 6. Konferencja [*INNE] "Innowacyjne metody produkcji zwierzęcej, w tym bydła mięsnego w województwie pomorskim - 2 dni po 50 osób (5 naukowców, 10 doradców, 10 przedsiębiorców, 25 rolników).</t>
  </si>
  <si>
    <t>W skład kosztów funkcjonowania na rok 2018 wchodziły koszty wynagrodzenia zespołu ds. SIR (1 koordynatora, 2 brokerów innowacji, 2 pracowników oddelegowanych do realizacji operacji własnych) oraz koszty ich delegacji. W 2018 r. w województwie pomorskim zarejestrowało się 6 partnerów Sieci. W ramach promocji SIR zamieszczono 4 artykuły w miesięczniku "Pomorskie Wieści Rolnicze" wydawanym przez Ośodek oraz 5 artykułów na stronie www.podr.pl/w zakładce SIR. Zespół ds. SIR organizował i obsługiwał punkty informacyjno-promocyjne podczas 9 targów organizowanych przez Ośrodek.  W ramach swojej działalności pomorski zespól SIR zrealizował łącznie 7 spotkań informacyjno-promocyjnych, szkoleń i wykładów na temat Sieci dla 345 osób. W ramach wsparcia tworzenia i organizacji grup operacyjnych na rzecz innowacji oraz opracowania przez nie projektów brokerzy/koordynator przeprowadzili łącznie 74 spotkania, szkolenia, wykłady i konsultacje indywidualne w ramach działania "Współpraca" dla 405 osób. Uczesniczono w 20 spotkaniach doskonalących, które organizowane były głównie przez CDR w Brwinowie oraz Oddziały Centrum, MRiRW, jak również przez ARiMR. W ramach realizacji czynności związanych z wdrażaniem Planu Operacyjnego KSOW na lata 2018-2019 w zakresie SIR PODR w Lubaniu zrealizował 4 operacje własne oraz 2 operacje partnerskie.</t>
  </si>
  <si>
    <t>Jednostka wdrażająca: Warmińsko - Mazurski Ośrodek Doradztwa Rolniczego z siedzibą w Olsztynie</t>
  </si>
  <si>
    <r>
      <t>Komentarz:
1. "II Warmińsko - Mazurskie Frum Innowacji w rolnictwie i na obszarach wiejskich"  (</t>
    </r>
    <r>
      <rPr>
        <sz val="10"/>
        <rFont val="Calibri"/>
        <family val="2"/>
        <charset val="238"/>
        <scheme val="minor"/>
      </rPr>
      <t xml:space="preserve">wartość 61577,78 </t>
    </r>
    <r>
      <rPr>
        <sz val="10"/>
        <color rgb="FFFF0000"/>
        <rFont val="Calibri"/>
        <family val="2"/>
        <charset val="238"/>
        <scheme val="minor"/>
      </rPr>
      <t>)</t>
    </r>
    <r>
      <rPr>
        <sz val="10"/>
        <color theme="1"/>
        <rFont val="Calibri"/>
        <family val="2"/>
        <charset val="238"/>
        <scheme val="minor"/>
      </rPr>
      <t xml:space="preserve">- seminariumu konferencyjne;
2. "Innowacyjne metody produkcji specjalnych i mleka w województwie warmińsko-mazurskim" (wartosć 19 900,00) </t>
    </r>
  </si>
  <si>
    <t>Komentarz:
1. "II Warmińsko - Mazurskie Frum Innowacji w rolnictwie i na obszarach wiejskich"  (120osób )- seminariumu konferencyjne;
2. "Innowacyjne metody produkcji specjalnych i mleka w województwie warmińsko-mazurskim" (50 osób)</t>
  </si>
  <si>
    <t xml:space="preserve">1. "II Warmińsko - Mazurskie Frum Innowacji w rolnictwie i na obszarach wiejskich"  - seminariumu konferencyjne;
2. Certyfikacja produktu tradycyjnego – innowacyjny kierunek promocji żywności regionalnej.
3. Od pola do widelca – produkcja, przetwórstwo i sprzedaż w ekologii                                                                                                                                                                                                 4. Zastosowanie innowacyjnych technologii w szacowaniu strat spowodowanych wystąpieniem niekorzystnych zjawisk atmosferycznych </t>
  </si>
  <si>
    <t xml:space="preserve">Komentarz:                                                                                 </t>
  </si>
  <si>
    <t>Komentarz:   W ramach funkcjonowania i  realizacji operacji własnych SIR zaangażowanych jest 10</t>
  </si>
  <si>
    <t>Komentarz:
1. Certyfikacja produktu tradycyjnego – innowacyjny kierunek promocji żywności regionalnej (wartość 11492,00 zł)  inne/mieszane - seminarium i wyjazd studyjny - 2 dni; 
2. Od pola do widelca – produkcja, przetwórstwo i sprzedaż w ekologii (watość 12306,33 zł) - 2 dni;                                                                                                                                                                   3. Zastosowanie innowacyjnych technologii w szacowaniu strat spowodowanych wystąpieniem niekorzystnych zjawisk atmosferycznych (wartość 5863,00 zł) - 1 dzień;                                                                                                                                                                                                                                                                                                                                                                       4.Dobre praktyki wdrażania innowacji w gospodarstwach ogrodniczych.( watość 12000,00 zł) - 2 dni.</t>
  </si>
  <si>
    <t>Komentarz:
1. Certyfikacja produktu tradycyjnego – innowacyjny kierunek promocji żywności regionalnej, 25 osób w tym 8 pracowników jednostek doradctwa;
2. Od pola do widelca – produkcja, przetwórstwo i sprzedaż w ekologii - 30  uczestników w tym 7 pracowników jednostek doradctwa;                                                                                                                                                                                                                            3. Zastosowanie innowacyjnych technologii w szacowaniu strat spowodowanych wystąpieniem niekorzystnych zjawisk atmosferycznych, 30 w tym 5 pracowników jednostek doradctwa ;                                                                                                                                                                                                                                                                                                                           4.Dobre praktyki wdrażania innowacji w gospodarstwach ogrodniczych -  20 uczestników w tym 3 pracowników jednostek doradctwa.</t>
  </si>
  <si>
    <t>Niektóre operacji realiowały ilka form dlatego w poszczególnych tabelach koszty zostały odpowiednio podzielone tak aby nie podwajać kosztów.
Do kosztów funkcjonowania zaliczamy płace z pochodnymi i koszty przejazdów służbowych.</t>
  </si>
  <si>
    <t>- w tym wydarzenia z 1.1</t>
  </si>
  <si>
    <t>- w tym związane z narzędziami komunikacji suma z publikacji</t>
  </si>
  <si>
    <t>- w tym związane z innymi działaniami suma wartosci z 6.1</t>
  </si>
  <si>
    <t>Jednostka wdrażająca: Wielkopolski Ośrodek Doradztwa Rolniczego w Poznaniu</t>
  </si>
  <si>
    <t>Stan na: 31.12.2018r.</t>
  </si>
  <si>
    <t>Komentarz:stoisko wystawiennicze w 2018r.:  stoisko na Wielkopolskich Targach Rolniczych 2018r., liczba uczestników Targów szacunkowo 15 tys.</t>
  </si>
  <si>
    <t>Komentarz: Grupa interesariuszy - Inne - przedstawiciele firm okołorolniczych</t>
  </si>
  <si>
    <t>Koszty funkcjonowania: materiały, usługi obce, wynagrodzenia,składki, delegacje.</t>
  </si>
  <si>
    <t xml:space="preserve">Jednostka wdrażająca: Zachodniopomorski Ośrodek Doradztwa Rolniczego w Barzkowicach </t>
  </si>
  <si>
    <t xml:space="preserve">Komentarz:                                                                                                                                                                                                                                                               </t>
  </si>
  <si>
    <t xml:space="preserve">1. Warsztaty serowarskie </t>
  </si>
  <si>
    <t xml:space="preserve">2. Wystawa ogrodniczo -pszczelarska </t>
  </si>
  <si>
    <t xml:space="preserve">3. Barzkowickie targi rolne </t>
  </si>
  <si>
    <t xml:space="preserve">Broszura SIR </t>
  </si>
  <si>
    <t xml:space="preserve">1. Przetwórstwo mleka sposobem na dyersyfikacje dochodów - warsztaty serowarskie  2 dni </t>
  </si>
  <si>
    <t xml:space="preserve">2. Wyjazd studyjny -innowacyjne i alternatywne metody upraw oraz metody poprawy rentowności w gospodarstwach specjalistycznych , szkolenie z  dot. uprawy lawendy oraz przedstawienie metod wykorzystania surowca w celu poprawy rentowności - wyjazd 5 dni , szkolenie 1 dzień </t>
  </si>
  <si>
    <t xml:space="preserve">na koszty funkcjonowania w 2018 r. składały się koszty wynagrodzenia oraz koszty delegacji pracowników wykonujących zadania SIR  ( koordynatora , brokera oraz osoby wspierającej ) .  W ramach promocji SIR zamieszczonych zostało 6 artkułów w Zachodniopomorskim Magazynie Rolniczym, 6 artkułów na stronie ZODR ,  3 na portalach społecznościowych.  W ramach prowadzonej działaności związanej z funkcjonowaniem sieci na rzecz innowacji w rolnictwie i na obszarach wiejskich odbyło sie 10 spotkań informacyjnych z potencjalnymi partnerami Sieci oraz członkami potencjalnych grup operacyjnych .  Dotychczas w bazie partnerów SIR w województwie zachodniopomorskim zarejstrowało się   34 partnerów. Pracownicy wykonujący zadania na rzecz SIR i na obszarach wiejskich odbyli szereg spotkań dotyczących bezpośrednio działania   " Współpraca" W ramach realizacji operacji własnych zgłoszono do realizacji 6 operacji z czego 5 została zrealizowana z jednej operacji zrezygnowano . Z działania 2 zrealizowano trzy  operacje własne a z działania 5  jedną operacje .  W ramach konkursu nr 2/2018 dla partnerów KSOW wpłyneły 3 wnioski , tylko jeden przeszedł do realizacji, jednak Partner zrezygnował z realizacji operacji.                                                                                                                                                                                                                                                                                                                                                                                                                                                                              </t>
  </si>
  <si>
    <t>Jednostka wdrażająca: Świętokrzyski Ośrodek Doradztwa Rolniczego</t>
  </si>
  <si>
    <t xml:space="preserve">Komentarz:
1. „Innowacyjne rozwiązania belgijskie w systemach formowania drzew oraz w systemach osłon w sadach czereśniowych dla uzyskiwania owoców wysokiej jakości” - 1 wyjazd studyjny zagraniczny
2. „Innowacyjne rozwiązania dla upraw ogrodniczych dla zwiększenia ich dochodowości (gatunki alternatywne)” - 1 konferencja
3. "Innowacyjne techniki i technologie produkcji, sprzedaży i przetwórstwa produktów ekologicznych" - 1 wyjazd studyjny, 1 szkolenie
4. "Gospodarstwa opiekuńcze jako alternatywna forma rozwoju gospodarstw świętokrzyskich - dobre przykłady funkcjonowania gospodarstw opiekuńczych w Holandii i Polsce" - 1 wyjazd studyjny zagraniczny
5. "Wdrażanie innowacyjnych rozwiązań w zakresie przetwórstwa owoców i warzyw w małych oraz średnich gospodarstwach" - 1 szkolenie, 2 warsztaty
</t>
  </si>
  <si>
    <t>Komentarz:
1. Wyjazd studyjny „Innowacyjne rozwiązania belgijskie w systemach formowania drzew oraz w systemach osłon w sadach czereśniowych dla uzyskiwania owoców wysokiej jakości” - 40 osób 
2. Konferencja „Innowacyjne rozwiązania dla upraw ogrodniczych dla zwiększenia ich dochodowości (gatunki alternatywne)” - 50 osób
3. Szkolenie i wyjazd studyjny "Innowacyjne techniki i technologie produkcji, sprzedaży i przetwórstwa produktów ekologicznych" - 47 osób 
4. Wyjazd studyjny "Gospodarstwa opiekuńcze jako alternatywna forma rozwoju gospodarstw świętokrzyskich - dobre przykłady funkcjonowania gospodarstw opiekuńczych w Holandii i Polsce" - 22 osoby 
5. Szkolenie i warsztaty "Wdrażanie innowacyjnych rozwiązań w zakresie przetwórstwa owoców i warzyw w małych oraz średnich gospodarstwach" - 50 osób</t>
  </si>
  <si>
    <t>Komentarz:
1. Wyjazd studyjny „Innowacyjne rozwiązania belgijskie w systemach formowania drzew oraz w systemach osłon w sadach czereśniowych dla uzyskiwania owoców wysokiej jakości” - 4 dni
2. Konferencja [*inne] „Innowacyjne rozwiązania dla upraw ogrodniczych dla zwiększenia ich dochodowości (gatunki alternatywne)” - 1 dzień 
3. Szkolenie i wyjazd studyjny "Innowacyjne techniki i technologie produkcji, sprzedaży i przetwórstwa produktów ekologicznych" - 2 dni
4. Wyjazd studyjny "Gospodarstwa opiekuńcze jako alternatywna forma rozwoju gospodarstw świętokrzyskich - dobre przykłady funkcjonowania gospodarstw opiekuńczych w Holandii i Polsce" - 5 dni
5. Szkolenie i warsztaty "Wdrażanie innowacyjnych rozwiązań w zakresie przetwórstwa owoców i warzyw w małych oraz średnich gospodarstwach" - 3 dni</t>
  </si>
  <si>
    <t>Komentarz:
1. Wyjazd studyjny „Innowacyjne rozwiązania belgijskie w systemach formowania drzew oraz w systemach osłon w sadach czereśniowych dla uzyskiwania owoców wysokiej jakości” - 40 osób (4 dni x 40 osób)
2. Konferencja „Innowacyjne rozwiązania dla upraw ogrodniczych dla zwiększenia ich dochodowości (gatunki alternatywne)” - 50 osób (1 dzień x 50 osób)
3. Wyjazd studyjny "Innowacyjne techniki i technologie produkcji, sprzedaży i przetwórstwa produktów ekologicznych" - 47 osób (2 dni x 47 osób)
4. Wyjazd studyjny "Gospodarstwa opiekuńcze jako alternatywna forma rozwoju gospodarstw świętokrzyskich - dobre przykłady funkcjonowania gospodarstw opiekuńczych w Holandii i Polsce" - 22 osoby (5 dni x 22 osoby)
5. Wyjazd studyjny i warsztaty "Wdrażanie innowacyjnych rozwiązań w zakresie przetwórstwa owoców i warzyw w małych oraz średnich gospodarstwach" - 50 osób (3 dni x 50 osób)</t>
  </si>
  <si>
    <t>Opis poniżej*</t>
  </si>
  <si>
    <t>* Na koszty funkcjonowania w roku 2018 składały się koszty wynagrodzenia zespołu ds. SIR (2 koordynatorów i 1 brokera), koszty ich delegacji oraz koszty zakupu materiałów biurowych i tonerów. W ramach swoich obowiązków pracownicy SIR pozyskali 5 nowych podmiotów do Bazy partnerów SIR. Na dzień 31.12.2018 r. w województwie świętokrzyskim zarejestrowanych było 51 partnerów Sieci. W ramach ułatwiania tworzenia sieci kontaktów pomiędzy partnerami KSOW, a także promocji SIR zamieszczono 2 artykuły w miesięczniku „Aktualności Rolnicze” wydawanym przez Ośrodek oraz 27 artykułów/informacji na stronie www.sodr.pl, w zakładce SIR, którą na bieżąco jest aktualizowana. Do CDR w Brwinowie przesłano 5 artykułów/informacji dot. SIR i działania „Współpraca”, które zamieszczone zostały na portalu społecznościowym Facebook administrowanym przez Centrum. Ważnym elementem promocji SIR i podnoszenia poziomu wiedzy i umiejętności partnerów KSOW oraz podmiotów tworzących grupy operacyjne była organizacja i obsługa 7 punktów informacyjno-promocyjnych na największych imprezach rolniczych w województwie świętokrzyskim, w których łącznie uczestniczyło kilkadziesiąt/kilkaset tysięcy rolników tj. w 27. Spotkaniu Sadowniczym w Sandomierzu, XXIV Międzynarodowych Targów Techniki Rolniczej AGROTECH w Kielcach, Targach ekologicznych ECO-Time w Kielcach, Dniu Otwartych Drzwi ŚODR Modliszewice, VIII Świętokrzyskim Święcie Zalewajki, Dożynkach Wojewódzkich we Włoszczowie. 
W ramach swojej działalności świętokrzyski zespół SIR zrealizował 17 spotkań/szkoleń dla 146 osób (rolników/przedsiębiorców itp.) z zakresu działania „Współpraca” (zasady tworzenia grup operacyjnych, ich finansowania, działalności, realizacji projektów innowacyjnych itp.), 18 spotkań/szkoleń informacyjno-promocyjnych dla 352 osób (rolników/przedsiębiorców) z zakresu SIR (cele, funkcjonowanie, działania, wspieranie innowacji w rolnictwie, itp.) oraz 3 szkolenia dla 36 pracowników ŚODR Modliszewice (dyrekcja, pracownicy merytoryczni w centrali Ośrodka, kierownicy i specjaliści PZDR).
Pracownicy odpowiedzialni za realizację zadań SIR przez cały rok 2018 podnosili swoje kwalifikacje w zakresie wiedzy o SIR i działaniu „Współpraca”. Uczestniczono w 15 spotkaniach doskonalących, które organizowane były głównie przez Ministerstwo Rolnictwa i Rozwoju Wsi, Centrum Doradztwa Rolniczego w Brwinowie oraz Oddziały Centrum, ale także przez Agencję Restrukturyzacji i Modernizacji Rolnictwa. 
Uczestniczono bezpośrednio w IV posiedzeniu Grupy Tematycznej ds. innowacji w rolnictwie i na obszarach wiejskich, na którym przedstawiono sprawozdanie z realizacji Planu operacyjnego KSOW na lata 2016-2017 w zakresie SIR oraz funkcjonowania Sieci w tym okresie – termin spotkania 06.02.2018 r. – ŚODR w Modliszewicach reprezentował Zastępca dyrektora ŚODR w Modliszewicach Jarosław Mostowski.
W ramach realizacji czynności związanych z wdrażaniem Planu operacyjnego KSOW na lata 2018-2019 w zakresie SIR zrealizowano 5 operacji własnych. Z Działania 2 zrealizowano dwie operacje własne, natomiast z Działania 5 trzy operację. Przeprowadzono ocenę 4 wniosków o wybór operacji pod kątem spełnienia wymagań formalnych oraz spełnienia warunków wyboru operacji w ramach konkursu nr 2/2018 dla Partnerów Krajowej Sieci Obszarów Wiejskich, 1 wniosek przekazano do CDR jako złożony do niewłaściwej jednostki. Po zakończeniu ww. procedury wnioski przesłano do CDR w Brwinowie do dalszej oceny. Z przesłanych do CDR wniosków jeden został przyjęty do realizacji. Z Wnioskodawcą – Ośrodkiem Promowania i Wspierania Przedsiębiorczości Rolnej w Sandomierzu zawarto umowę na realizację operacji pn. „Budowanie grupy partnerskiej ukierunkowanej na innowacyjne metody produkcji i przetwórstwa na Ziemi Sandomierskiej”, wnioskowana kwota operacji: 77 165,38 zł, a następnie prowadzono nadzór nad prawidłową realizacją operacji. Stała współpraca, konsultacje, udzielanie odpowiedzi na wątpliwości Partnera dot. realizacji operacji oraz bieżące informowanie o pojawiających się zmianach pozwoliło na sprawne rozliczenie złożonego wniosku o refundację, który rozpatrzono pozytywnie.
W roku 2018:
- sporządzono i złożono do centrali Agencji Restrukturyzacji i Modernizacji Rolnictwa 2 Wnioski o Przyznanie Pomocy Technicznej, które na dzień 31.12.2018 r. nadal były rozpatrywane, 
- zakończono rozliczanie 2 Wniosków o Płatność Pomocy Technicznej za lata 2015-2017, które na dzień 31.12.2018 r. zostały pozytywnie rozpatrzone i zrefundowane przez ARiMR.
W ramach współpracy z CDR w Brwinowie utrzymywano kontakty telefoniczne lub mailowe dotyczące zarówno identyfikacji potrzeb jak i problemów związanych z funkcjonowaniem SIR. Na bieżąco prowadzono rozmowy na temat np. dokumentacji związanej z Planem Działania Pomocy Technicznej czy Planem Operacyjnym. 
W ramach swojej działalności świętokrzyski zespół SIR prowadził spotkania informacyjno-promocyjne, szkolenia i wykłady na temat Sieci, dzięki którym możliwe było popularyzowanie i rozpowszechnianie informacji o Sieci wśród zainteresowanych, ale także upowszechnianie wiedzy na temat wprowadzonych rozwiązań w rolnictwie i na obszarach wiejskich, wymiana dobrych praktyk i doświadczeń. Dzięki ww. działaniom spotkaniom tworzono sieć kontaktów pomiędzy rolnikami, przedstawicielami organizacji i instytucji rolniczych, naukowo-badawczych, administracji, branży rolno-spożywczej, doradcami, przedsiębiorcami, lokalnymi organizacjami oraz mieszkańcami obszarów wiejskich w zakresie wdrażania innowacyjnych rozwiązań. Podczas tych spotkań prowadzone rozmowy z koordynatorami SIR i brokerem pozwoliły zainteresowanym ww. tematem zapytać o interesujące ich kwestie, wyjaśnić wątpliwości i podnieść swoją wiedzę w tym temacie. Komunikacja bezpośrednia umożliwiła lepsze i wiarygodniejsze przekazanie wiedzy i mechanizmów działania Sieci. 
W ramach wsparcia tworzenia i organizacji grup operacyjnych na rzecz innowacji prowadzono rozmowy na temat możliwości powstania grup operacyjnych z: 
1. Grupą producentów owoców i warzyw Sangrow Sp. z o.o. (Zajeziorze 45,27-650 Samborzec). Grupa była zainteresowana opracowaniem innowacyjnych metod przechowywania owoców – projekt dotyczyć miał opracowania systemu pozwalającego na precyzyjne kontrolowanie atmosfery oraz opracowania parametrów przechowalniczych do konkretnych/nowych odmian jabłek. Grupa nawiązała współpracę z Grupą Producentów Złoty Sad, która również była zainteresowania wdrażaniem rozwiązań w tym zakresie. Obydwie grupy nawiązały współpracę z Instytutem Ogrodnictwa w Skierniewicach, Zakład Przechowalnictwa i Przetwórstwa Owoców i Warzyw, jako jednostką badawczą. ŚODR Modliszewice uczestniczył w rozmowach oraz wstępnie deklarował chęć udziału w grupie operacyjnej, jako członek odpowiedzialny za upowszechnianie opracowanych innowacji. Obydwie grupy po wstępnych rozmowach oraz po przeanalizowaniu warunków jakie muszą spełnić (odpowiedzialność solidarna, współpraca w konsorcjum z jednostkami naukowymi, skomplikowana procedura ubiegania się o dofinansowanie, konieczność posiadania własnych zasobów na część inwestycyjną, zbliżający się nabór na poddziałanie „Wsparcie inwestycji w przetwarzanie produktów rolnych, obrót nimi lub ich rozwój” typ operacji „Przetwórstwo i marketing produktów rolnych”) zrezygnowały z ubiegania się o dofinansowanie.
2. Ośrodkiem Promowania i Wspierania Przedsiębiorczości Rolnej w Sandomierzu (OPP), który w ramach swojej działalności prowadzi inkubator przetwórczy, który stanowi innowacyjny projekt z zakresu małego przetwórstwa. W ramach inkubatora Ośrodek posiada m.in. suszarnie tradycyjną, która wkrótce będzie modernizowana. Ośrodek nawiązał współpracę z Instytutem Ogrodnictwa w Skierniewicach (prof. D. Konopacką), która chciała, uwzględniając planowaną modernizację suszarni i możliwość dostosowania jej parametrów, rozpocząć pracę nad opracowaniem innowacyjnych metod/technologii suszenia/rodzynkowania owoców (w tym opracować i wdrożyć nowe technologie suszenia oraz opracować metody efektywniejszego przechowywania-pakowania suszu dla poprawy jego właściwości smakowych i jakościowych). Partner nie złożył wniosku w trwającym naborze ze względu na zbyt małą ilość czasu na sprawy związane z wymaganiami wniosku o przyznanie pomocy w ramach działania „Współpraca”.
3. Grupą Producentów REFAL, która wstępnie była zainteresowana składaniem wniosku z działania „Współpraca”, ale po zapoznaniu się z wymaganiami programu oraz dotychczasowymi doświadczeniami trudnościami związanymi z rozliczeniami w ramach PROW zrezygnowała z podejmowania dalszych działań.  
4. Grupą Producentów Sad Sandomierski, która była zainteresowana wypromowaniem jabłka sandomierskiego na rynkach światowych. Planowali przygotowanie akcji promocyjnej reklamującej jabłka jako produkt regionalny, lecz po analizie kosztów kwalifikowanych możliwych do uwzględnienia zrezygnowali z ubiegania się o dofinansowanie.</t>
  </si>
  <si>
    <r>
      <t xml:space="preserve">Komentarz:
1. Współczesne wyzwania gospodarki wodnej na obszarach wiejskich (konferencja; koszt poniesiony: 87365,43 zł; liczba uczestników: 140x2; zasięg: kraj);
2. Forum „Sieciowanie Partnerów SIR” (konferencja; koszt poniesiony: 32582,63 zł; liczba uczestników: 120 +15 wolnych słuchaczy; zasięg: kraj);
3. III Forum wiedzy i innowacji (konferencja; koszt poniesiony: 69334,63 zł; liczba uczestników: 150 + 41 wolnych słuchaczy 1ego dnia konferencji; zasięg: kraj);
</t>
    </r>
    <r>
      <rPr>
        <sz val="10"/>
        <color rgb="FF0070C0"/>
        <rFont val="Calibri"/>
        <family val="2"/>
        <charset val="238"/>
        <scheme val="minor"/>
      </rPr>
      <t>4. Innowacyjne technologie w rolnictwie precyzyjnym (szkolenie; liczba dni: 2; koszt poniesiony: 6884,78 zł; liczba uczestników: 31/31, w tym 16/16 doradców; zasięg: kraj);
5. Partnerstwo dla rozwoju II (2 szkolenia; liczba dni ogółem: 4; koszt poniesiony: 43301,01 zł; liczba uczestników: 51/51/70/66; zasięg: kraj);</t>
    </r>
    <r>
      <rPr>
        <sz val="10"/>
        <color theme="1"/>
        <rFont val="Calibri"/>
        <family val="2"/>
        <charset val="238"/>
        <scheme val="minor"/>
      </rPr>
      <t xml:space="preserve">
</t>
    </r>
    <r>
      <rPr>
        <sz val="10"/>
        <color rgb="FF0070C0"/>
        <rFont val="Calibri"/>
        <family val="2"/>
        <charset val="238"/>
        <scheme val="minor"/>
      </rPr>
      <t>6. Spotkania informacyjno-szkoleniowe dla brokerów innowacji oraz pracowników CDR i ODR wspierających prace związane z wrażaniem działania „Współpraca” (4 szkolenia; liczba dni ogółem dla wszystkich szkoleń: 8; koszt poniesiony: 51516,67 zł; liczba uczestników: 39/34/44/43/40/44/42/50/39 w tym przedstawiciele MRiRW oraz ARiMR: 3/3/5/5/9/9 ; zasięg: kraj); 
7. Spotkania informacyjno-szkoleniowe dla pracowników realizujących zadania Sieci (realizowane w ramach funkcjonowania; liczba szkoleń 2; liczba dni szkoleniowych: 3; liczba uczestników 39/36/34)</t>
    </r>
    <r>
      <rPr>
        <sz val="10"/>
        <color theme="1"/>
        <rFont val="Calibri"/>
        <family val="2"/>
        <charset val="238"/>
        <scheme val="minor"/>
      </rPr>
      <t xml:space="preserve">
8. Cykl konferencji w zakresie innowacyjnych rozwiązań w małych gospodarstwach rolnych (4 konferencje; koszt poniesiony: 67986,00; liczba uczestników 50 x 8; zasięg: kraj);
9. Możliwości przeprojektowania systemu upraw w gospodarstwach ekologicznych. Jak prowadzić nawożenie  w zgodzie z nowymi przepisami programu azotanowego. (konferencja; koszt poniesiony: 44993,40 zł; liczba uczestników: 80/100; zasięg: kraj);
10. Imprezy masowe: POLAGRA-premiery,  XXIV Międzynarodowe Targi Techniki Rolniczej AGROTECH,  Narodowa Wystawa Rolnicza (koszt funkcjonowania)
</t>
    </r>
  </si>
  <si>
    <t xml:space="preserve">Komentarz:
1. Współczesne wyzwania gospodarki wodnej na obszarach wiejskich (konferencja; koszt poniesiony: 87365,43 zł; liczba uczestników: 140x2; zasięg: kraj);
2. Forum „Sieciowanie Partnerów SIR” (konferencja; koszt poniesiony: 32582,63 zł; liczba uczestników: 120 +15 wolnych słuchaczy; zasięg: kraj);
3. III Forum wiedzy i innowacji (konferencja; koszt poniesiony: 69334,63 zł; liczba uczestników: 150 + 41 wolnych słuchaczy 1ego dnia konferencji; zasięg: kraj);
4. Innowacyjne technologie w rolnictwie precyzyjnym (szkolenie; liczba dni: 2; koszt poniesiony: 6884,78 zł; liczba uczestników: 31/31, w tym 16/16 doradców; zasięg: kraj);
5. Partnerstwo dla rozwoju II (2 szkolenia; liczba dni ogółem: 4; koszt poniesiony: 43301,01 zł; liczba uczestników: 51/51/70/66; zasięg: kraj);
6. Spotkania informacyjno-szkoleniowe dla brokerów innowacji oraz pracowników CDR i ODR wspierających prace związane z wrażaniem działania „Współpraca” (4 szkolenia; liczba dni ogółem dla wszystkich szkoleń: 8; koszt poniesiony: 51516,67 zł; liczba uczestników: 39/34/44/43/40/44/42/50/39 w tym przedstawiciele MRiRW oraz ARiMR: 3/3/5/5/9/9 ; zasięg: kraj); 
7.  Spotkania informacyjno-szkoleniowe dla pracowników realizujących zadania Sieci (realizowane w ramach funkcjonowania; liczba szkoleń 2; liczba dni szkoleniowych: 3; liczba uczestników 39/36/34)
8. Cykl konferencji w zakresie innowacyjnych rozwiązań w małych gospodarstwach rolnych (4 konferencje; koszt poniesiony: 67986,00; liczba uczestników 50 x 8; zasięg: kraj);
9. Możliwości przeprojektowania systemu upraw w gospodarstwach ekologicznych. Jak prowadzić nawożenie  w zgodzie z nowymi przepisami programu azotanowego. (konferencja; koszt poniesiony: 44993,40 zł; liczba uczestników: 80/100; zasięg: kraj);
10. Imprezy masowe: POLAGRA-premiery,  XXIV Międzynarodowe Targi Techniki Rolniczej AGROTECH,  Narodowa Wystawa Rolnicza (koszt funkcjonowania)
</t>
  </si>
  <si>
    <t>Komentarz:
1. Innowacyjne technologie w rolnictwie precyzyjnym (szkolenie; liczba dni: 2; koszt poniesiony: 6884,78 zł; liczba uczestników: 31/31, w tym 16/16 doradców; zasięg: kraj);
2. Partnerstwo dla rozwoju II (2 szkolenia; liczba dni ogółem: 4; koszt poniesiony: 43301,01 zł; liczba uczestników: 51/51/70/66; zasięg: kraj);
3. Spotkania informacyjno-szkoleniowe dla brokerów innowacji oraz pracowników CDR i ODR wspierających prace związane z wrażaniem działania „Współpraca” (4 szkolenia; liczba dni ogółem dla wszystkich szkoleń: 8; koszt poniesiony: 51516,67 zł; liczba uczestników: 39/34/44/43/40/44/42/50/39 w tym przedstawiciele MRiRW oraz ARiMR: 3/3/5/5/9/9 ; zasięg: kraj); 
4. Promocja innowacji w hodowli bydła mięsnego podczas Europejskich Targów Hodowlanych w Clermount-Ferrand (wyjazd studyjny; liczba dni: 5 ; koszt poniesiony: 124185,00 zł; liczba uczestników: 50 x 7; zasięg: kraj);
5. Budowanie sieci partnerstw w celu wdrażania innowacji w zakresie wprowadzania do obrotu żywności wysokiej jakości (wyjazd studyjny, w ramach którego zorganizowano konferencję; koszt poniesiony: 191618,39 zł; liczba uczestników: 80 x 6; liczba dni: 6; zasięg: kraj);
6.  Spotkania informacyjno-szkoleniowe dla pracowników realizujących zadania Sieci (realizowane w ramach funkcjonowania; liczba szkoleń 2; liczba dni szkoleniowych: 3; liczba uczestników 39/36/34)</t>
  </si>
  <si>
    <t>Komentarz:
1. Innowacyjne technologie w rolnictwie precyzyjnym (szkolenie; liczba dni: 2; koszt poniesiony: 6884,78 zł; liczba uczestników: 31/31, w tym 16/16 doradców; zasięg: kraj);
2. Partnerstwo dla rozwoju II (2 szkolenia; liczba dni ogółem: 4; koszt poniesiony: 43301,01 zł; liczba uczestników: 51/51/70/66; zasięg: kraj);
3. Spotkania informacyjno-szkoleniowe dla brokerów innowacji oraz pracowników CDR i ODR wspierających prace związane z wrażaniem działania „Współpraca” (4 szkolenia; liczba dni ogółem dla wszystkich szkoleń: 8; koszt poniesiony: 51516,67 zł; liczba uczestników: 39/34/44/43/40/44/42/50/39 w tym przedstawiciele MRiRW oraz ARiMR: 3/3/5/5/9/9 ; zasięg: kraj); 
4. Promocja innowacji w hodowli bydła mięsnego podczas Europejskich Targów Hodowlanych w Clermount-Ferrand (wyjazd studyjny; liczba dni: 5 ; koszt poniesiony: 124185,00 zł; liczba uczestników: 50 x 5; zasięg: kraj);
5. Budowanie sieci partnerstw w celu wdrażania innowacji w zakresie wprowadzania do obrotu żywności wysokiej jakości (wyjazd studyjny, w ramach którego zorganizowano konferencję; koszt poniesiony: 187928,39 zł; liczba uczestników: 80 x 6; liczba dni: 6; zasięg: kraj);
6.  Spotkania informacyjno-szkoleniowe dla pracowników realizujących zadania Sieci (realizowane w ramach funkcjonowania; liczba szkoleń 2; liczba dni szkoleniowych: 3; liczba uczestników 39/36/34)</t>
  </si>
  <si>
    <t>Komentarz: Dzień Świętego Marcina w Brukseli - 21 osób, Wielkopolska Wielkanoc w Parlamencie Europejskim - 340 osób, Wyjazd studyjny do Rumunii - 78 osób, Dożynki Prezydenckie Spała - ok. 10 000 osób, Szkolenie dla LGD z poddziałania 19.2 i 19.4 - 56 osób</t>
  </si>
  <si>
    <t>Komentarz:                                                                                                                                                                                                                                 imprezy masowe, tj.:  1) wystawa żywności ekologicznej, 2) Jarmark Bożonarodzeniowy, 3) imprezę plenerową w Brzeźnicy, 4) imprezę plenerową w Osiecznicy, 5) Lubuskie Święto Plonów, 6) Nasze Kulinarne Dziedzictwo impreza podsumowjuąca konkurs, 7) Powiatowe Święto Plonów w Żaganiu, 8) Dożynki Gminne w Przytocznej,  9) Powiatowe Święto Plonów w Krośnie Odrzańskim, 10) POLAGRĘ 2018</t>
  </si>
  <si>
    <t>Jednostka wdrażająca: Województwo Zachodniopomorskie</t>
  </si>
  <si>
    <t>Tabela 2</t>
  </si>
  <si>
    <t>Jednostka wdrażająca: Samorząd Województwa Kujawsko-Pomorskiego</t>
  </si>
  <si>
    <t xml:space="preserve">Komentarz:
Komentarz:
Wśród imprez masowych uwzględniono:
Targi Food Show w Katowicach
Targi World Food Warsaw
Targi Natura Food w Łodzi
Targi Smaki Regionów w Łodzi
W tabeli "Inne" w części "Zakres tematyczny" uwzględniono spotkania grupy tematycznej tj. Zespołu Opiniodawczo-Doradczego ds. Rozwoju Obszarów Wiejskich, który opiniuje całość zagadnień związanych w funkcjonowaniem KSOW, stąd trudno przypisać jego działalność do konkretnego Priorytetu PROW. </t>
  </si>
  <si>
    <t>Komentarz:
Zgodnie z informacjami przedstawionymi przez organizatorów targów, do poszczególnych wydarzeń przypisano następującą liczbę uczestników:
Targi Food Show w Katowicach - 12 000
Targi World Food Warsaw - 4 000
Targi Natura Food w Łodzi - 12 000
Targi Smaki Regionów w Łodzi - 25 000</t>
  </si>
  <si>
    <t xml:space="preserve">Komentarz:
W "Grupie interesariuszy" w tabeli inne uwzględniono przedstawicieli jednostki wdrażającej czyli Samorządu Województwa Kujawsko-Pomorskiego oraz dzieci, młodzież oraz właściwieli ogrodów i ogródków, do których skierowane były warsztaty zorganizowane przez Partnera KSOW. </t>
  </si>
  <si>
    <t>W kategorii kosztów związanych z innymi działaniami uwzględniono zakup materiałów promocyjnych nie zawierających treści merytorycznych oraz zakup artykułów spożywczych  niezbędnych do przygotowania spotkań informacyjno-promocyjnych oraz konsultacyjnych z beneficjentami i potencjalnymi beneficjentami PROW 2014-2020 w siedzibie urzędu; produkcję czterech felietonów (audycji) w programie telewizyjnym AGROREGION, promujących działania KSOW i operacje partnerów oraz koszty udziału w dwóch szkoleniach, których nie uwzględniono w pozycji "wydarzenia". W kosztach funkcjonowania ujęto wynagrodzenia pracowników, wynajem pomieszczeń, telefony, delegacje, zakupy materiałów biurowych.</t>
  </si>
  <si>
    <t xml:space="preserve">Komentarz:
1. Wizyta studyjna przedstawicieli polskich LGD w Portugalii (24-28.10.2018 - 5 dni)
2. Cztery podejścia jeden cel - wypracowanie innowacyjnych mechanizmów współpracy z wykorzystaniem dziedzictwa kulturowego, przyrodniczego i historycznego obszarów LGD (1 seminarium oraz 4 wyjazdy studyjne X 3 dni)
3. Rozwój wspólpracy sieciowej związanej z produkcja Bezpiecznej Zywności w ramach klastra (1 seminarium x 1 dzień i 3 warsztaty x 1 dzień)
4. Zrównowazony rozwój obszarów wiejskich przez żywność wysokiej jakości z naciskiem na produkt lokalny ( 1 warsztatx 1 dzień 1 konferencja x 2 dni)
6. Turystyka kulinarna szansą na rozwój obszarów wiejskich (2 wyjazdy studyjne x 3 dni)
7. Projekty współpracy, a rozwój obszarów wiejskich (wyjazd studyjnyx1 dzieńx115 osób, konferencja x 1 dzień-115 osób - międzynarodowe)
8. Upowszechnianie wiedzy w zakresie wykorzystania systemów informacji przestrzennej GIS na potrzeby innowacyjnej praktyki rolniczej (1szkoleniax 2 dni x 31, 1 konferencjax 1 dzień x 52)
9. Promowanie alternatywnych rozwiązań z zakresu przedsiębiorczości i krótkich łańcuchów dostaw żywnosci na przykładzie Austrii (1 wyjazd studyjny x 3 dni x 42 osoby)
11. Ekologia ! To jest to! - współpraca rolników ekologicznych w skracaniu łańcucha dostaw (warsztat x 1 dzień x 57)
13. Pszczoły i pszczelarstwo = rolnictwo ekologiczne (szkolenia x 20x 3 dni)
14. Wielka rola mikroorganizmów w obiegu azotu (szkolenie x 37)
15. Promocja oraz upowszechnianie i podnoszenie poziomu wiedzy na temat pszczelarstwa podczas konferencji branżowej ora ogólnopolskiego konkursu "Pszczelarz roku" ( 1 konferencja 1 konkurs - inne )
16. Dobre praktyki po Belgijsku (2 wyjazdy studyjne x 5 dni każdy, konferencja x 2 dni)
19. Konkurs AgroLiga 2018- etap wojewódzki (4 seminaria x1 dzień x 691 łacznie)
21. Przyzagrodowy hów gęsi szansą na aktywizację mieszkańców obszarów wiejskich (16 szkoleń x 1 dzień x 570 osób łącznie)
22. Akademia umiejetności animatora LGD (16 warsztatów x 3 dni (łacznie we wszystkie dni 549), 4 seminaria x 1 dzień, 4 wyjazdy studyjne x 2 dni, 1 konferencja x 2 dni
</t>
  </si>
  <si>
    <t>koszt o 5 tys. zł niższy niż wskazano w informacji półrocznej na dzień 31.12.208</t>
  </si>
  <si>
    <t>Jednostka wdrażająca: Podlaski Ośrodek Doradztwa Rolniczego</t>
  </si>
  <si>
    <t>Uwaga: Podane dane są narastająco od poczatku roku.</t>
  </si>
  <si>
    <t>Sporzadziła: Aneta Drobek</t>
  </si>
  <si>
    <t>Szepietowo 20.02.2019</t>
  </si>
  <si>
    <t>Jednostka wdrażająca: Dolnośląski Ośrodek Doradztwa Rolniczego z siedzibą we Wrocławiu</t>
  </si>
  <si>
    <t>Komentarz:
1. "Innowacyjne wykorzystanie zasobów Dolnego Śląska w celu poprawy jakości życia w regionie - PROW 2014-2020 Działanie "Współpraca"" - seminarium;
2. "Dolnośląskie warsztaty serowarskie" - warsztaty;
3. "Wiejskie usługi opiekuńcze - innowacyjna forma przedsiębiorczości" - seminarium i dwudniowe warsztaty;
4. "Innowacje w praktyce - cykl warsztatów polowych: rzepak, soja, kukurydza" - 3 x warsztaty;
5. "Dolny Śląsk. Zielona dolina żywności i zdrowia - wyjazd studyjny partnerów KSOW" - wyjazd studyjny.</t>
  </si>
  <si>
    <t>Komentarz:
1. Seminarium "Innowacyjne wykorzystanie zasobów Dolnego Śląska w celu poprawy jakości życia w regionie - PROW 2014-2020 Działanie "Współpraca"" - 90 osób;
2. Warsztaty "Dolnośląskie warsztaty serowarskie" - 16 osób;
3. Seminarium i warsztaty pn."Wiejskie usługi opiekuńcze - innowacyjna forma przedsiębiorczości" - seminarium - 60 osób i warsztaty - 30 osób;  
4. Warsztaty "Innowacje w praktyce - cykl warsztatów polowych: rzepak, soja, kukurydza" - każdy z 3 po 30 osób;
5. Wyjazd studyjny "Dolny Śląsk. Zielona dolina żywności i zdrowia - wyjazd studyjny partnerów KSOW" - 18 osób.</t>
  </si>
  <si>
    <t xml:space="preserve"> Komentarz:
- Broszura "„Gospodarstwa opiekuńcze”, 28 stron, format A5, łączny nakład 1 000 egzemplarzy.</t>
  </si>
  <si>
    <t>Komentarz:
1. Seminarium [*INNE] "Innowacyjne wykorzystanie zasobów Dolnego Śląska w celu poprawy jakości życia w regionie - PROW 2014-2020 Działanie "Współpraca"" - 1 dzień;
2. Warsztaty "Dolnośląskie warsztaty serowarskie" - 3 dni;
3. Seminarium [*INNE] i warsztaty pn."Wiejskie usługi opiekuńcze - innowacyjna forma przedsiębiorczości" - seminarium - 1 dzień i warsztaty - 2 dni;
4. Warsztaty "Innowacje w praktyce - cykl warsztatów polowych: rzepak, soja, kukurydza" - każdy z 3 warsztatów po 1 dzień;
5. Wyjazd studyjny "Dolny Śląsk. Zielona dolina żywności i zdrowia - wyjazd studyjny partnerów KSOW" - 5 dni.</t>
  </si>
  <si>
    <t>Komentarz:
1. Seminarium [*INNE] "Innowacyjne wykorzystanie zasobów Dolnego Śląska w celu poprawy jakości życia w regionie - PROW 2014-2020 Działanie "Współpraca"" - 90 osób; Grupy interesariuszy *inne - łączna liczba 16, w tym Posłowie na Sejm [2], ARiMR [1], KRUS [2], KOWR [3], Związki Zawodowe Rolników [2], Szkoły rolnicze [1], UPWr [3], Firmy rolnicze [2];
2. Warsztaty "Dolnośląskie warsztaty serowarskie" - 16 osób;
3. Seminarium [*INNE] i warsztaty pn."Wiejskie usługi opiekuńcze - innowacyjna forma przedsiębiorczości" - seminarium - 60 osób i warsztaty - 30 osób;  Grupy interesariuszy *inne - łączna liczba 55, w tym Dom Opieki Społecznej w Trzebnicy, Stowarzyszenie Wolimierz, Fundacja "Pokolorujmy Szarość", ARiMR – Odział Regionalny we Wrocławiu oraz Biuro powiatowe w Świdnicy, PSSE w Świdnicy, Stowarzyszenie Kwaterodawców Gór Sowich, Urząd Miejski w Świdnicy, Biuro poselskie ze Świdnicy, KRUS Oddział we Wrocławiu,  Fundacja Partnerstwo Jadwiga, gmina Marcinowice, Dolnośląski Zespół Parków Krajobrazowych O/Wałbrzych, Stowarzyszenie Kwaterodawców Kraina Sudecka.
4.Warsztaty "Innowacje w praktyce - cykl warsztatów polowych: rzepak, soja, kukurydza" - każdy z 3 po 30 osób;
5. Wyjazd studyjny "Dolny Śląsk. Zielona dolina żywności i zdrowia - wyjazd studyjny partnerów KSOW" - 18 osób; Grupy interesariuszy *inne - łączna liczba 7, w tym przedstawiciele jednostki naukowej (Uniwerstet Przyrodniczy we Wrocławiu [6], przedstawiciele JST (Urząd Marszałkowski Województwa Dolnośląskiego) [1].</t>
  </si>
  <si>
    <t xml:space="preserve">Na koszty funkcjonowania w roku 2018 składały się koszty wynagrodzenia zespołu ds. SIR (2 koordynatorów i brokera) oraz koszty ich delegacji. W ramach swoich obowiązków pracownicy SIR pozyskali 15 nowych podmiotów do Bazy partnerów SIR. Na dzień 31.12.2018 r. w województwie dolnośląskim zarejestrowanych zostało 121 partnerów Sieci, co dało najlepszy wynik w Polsce. W ramach ułatwiania tworzenia sieci kontaktów pomiędzy partnerami KSOW, a także promocji SIR zamieszczono 31 artykułów/informacji w miesięczniku „Twój Doradca Rolniczy Rynek” wydawanym przez Ośrodek oraz 37 artykułów/informacji na stronie www.dodr.pl, w zakładce SIR, którą na bieżąco jest aktualizowana. Do CDR w Brwinowie przesłano 18 artykułów/informacji dot. SIR i działania „Współpraca”, które zamieszczone zostały na portalu społecznościowym Facebook administrowanym przez Centrum. Ważnym elementem promocji SIR i podnoszenia poziomu wiedzy i umiejętności partnerów KSOW oraz podmiotów tworzących grupy operacyjne była organizacja i obsługa 14 punktów informacyjno-promocyjnych. Informacje o działaniach Sieci na rzecz innowacji w rolnictwie i na obszarach wiejskich w województwie dolnośląskim przedstawiono w programie „Teraz Wieś” na kanale TVP3. Dodatkowo podczas prowadzenia wykładów nt. SIR i działania „Współpraca” przez pracowników ds. SIR prezentowano film „Innowacyjny Dolny Śląsk”. Produkcja filmu obejmowała materiał video z trzech operacji, zrealizowanych w ramach dwuletniego Planu operacyjnego KSOW na lata 2016-2017. 
W ramach swojej działalności dolnośląski zespół SIR zrealizował łącznie 32 spotkania informacyjno-promocyjne, szkolenia i wykłady na temat Sieci dla 775 osób.
W ramach wsparcia tworzenia i organizacji grup operacyjnych na rzecz innowacji oraz opracowania przez nie projektów broker zatrudniony w Ośrodku z pomocą koordynatorów przeprowadził łącznie 66 spotkań, szkoleń, wykładów i konsultacji indywidualnych i telefonicznych w ramach działania „Współpraca” dla 604 osób. Dzięki jego dużemu zaangażowaniu Dolnośląski Ośrodek Doradztwa Rolniczego z siedzibą we Wrocławiu pełni rolę członka w trzech grupach EPI. Pracownicy odpowiedzialni za realizację zadań SIR przez cały rok 2018 podnosili swoje kwalifikacje w zakresie wiedzy o SIR i działaniu „Współpraca”. Uczestniczono w 19 spotkaniach doskonalących, które organizowane były głównie przez Ministerstwo Rolnictwa i Rozwoju Wsi, Centrum Doradztwa Rolniczego w Brwinowie oraz Oddziały Centrum, ale także przez Agencję Restrukturyzacji i Modernizacji Rolnictwa. 
Uczestniczono bezpośrednio w IV posiedzeniu Grupy Tematycznej ds. innowacji w rolnictwie i na obszarach wiejskich, a pięciokrotnie brano udział w trybie obiegowym tej Grupy. Ponadto ośmiokrotnie brano udział w trybie obiegowym Dolnośląskiej Grupy Roboczej ds. Krajowej Sieci Obszarów Wiejskich w celu akceptacji uchwał tej Grupy.
W ramach realizacji czynności związanych z wdrażaniem Planu operacyjnego KSOW na lata 2018-2019 w zakresie SIR przygotowano 4 propozycje operacji własnych, które zostały pozytywnie rozpatrzone na IV posiedzeniu Grupy Tematycznej ds. innowacji w rolnictwie i na obszarach wiejskich, a następnie je zrealizowano. Z Działania 2 zrealizowano 3 operacje własne, natomiast z Działania 5 jedną operację. Przeprowadzono ocenę dwóch wniosków o wybór operacji pod kątem spełnienia wymagań formalnych oraz spełnienia warunków wyboru operacji w ramach konkursu nr 2/2018 dla Partnerów Krajowej Sieci Obszarów Wiejskich. Po zakończeniu ww. procedury wnioski przesłano do CDR w Brwinowie do dalszej oceny. Z przesłanych do CDR wniosków jeden został rozpatrzony pozytywnie. Z Wnioskodawcą – Uniwersytetem Przyrodniczym we Wrocławiu zawarto umowę na realizację operacji pn. „Dolny Śląsk. Zielona dolina żywności i zdrowia – wyjazd studyjny dla partnerów KSOW”, a następnie prowadzono nadzór nad prawidłową realizacją operacji. Stała współpraca, konsultacje, udzielanie odpowiedzi na wątpliwości Partnera dot. realizacji operacji oraz bieżące informowanie o pojawiających się zmianach pozwoliło na sprawne rozliczenie złożonego wniosku o refundację, który rozpatrzono pozytywnie.
W roku 2018:
- sporządzono i złożono do centrali Agencji Restrukturyzacji i Modernizacji Rolnictwa  4 Wnioski o Przyznanie Pomocy Technicznej. Na dzień 31.12.2018 r. 3 z ww. wniosków zostały pozytywnie rozpatrzone przez ARiMR. Pozostały jeden wniosek znajduje się w ocenie,
- podpisano 5 Umów o Przyznanie Pomocy Technicznej,
- sporządzono i złożono do centrali ARiMR 7 Wniosków o Płatność Pomocy Technicznej. Na dzień 31.12.2018 r. 4 z ww. wniosków zostały pozytywnie rozpatrzone i zrefundowane przez ARiMR na łączną kwotę 456 769,52 zł. Pozostałe 3 wnioski znajdują się w ocenie.
W ramach współpracy z CDR w Brwinowie średnio 3 razy w tygodniu utrzymywano kontakty telefoniczne lub mailowe dotyczące zarówno identyfikacji potrzeb jak i problemów związanych z funkcjonowaniem SIR. Na bieżąco prowadzono rozmowy na temat np. dokumentacji związanej z Planem Działania Pomocy Technicznej czy Planem Operacyjnym. Przesłano dwa formularze zgłoszeniowe dotyczące dobrych praktyk na terenie województwa dolnośląskiego, sporządzono 12 opracowań miesięcznych z realizacji Planu operacyjnego Krajowej Sieci Obszarów Wiejskich 2018-2019, opracowano informację dotyczącą Wspólnej Statystyki Sieci Obszarów Wiejskich oraz roczne sprawozdanie. 
z realizacji Planu działania za 2017 rok. Dzięki prowadzonym szkoleniom, spotkaniom indywidualnym, wykładom oraz spotkaniom informacyjno-promocyjnym przez pracowników SIR Dolnośląskiego Ośrodka Doradztwa Rolniczego z siedzibą we Wrocławiu pozyskano 15 nowych podmiotów do Bazy partnerów SIR. Na dzień 31.12.2018 r. w województwie dolnośląskim zarejestrowanych mamy 121 partnerów Sieci, co dało nam najlepszy wynik w Polsce. Identyfikacja, stały kontakt i aktywizacja partnerów SIR (średnio 2-3 kontakty tygodniowo) wzmacniają współpracę i sprawiają, iż liczba zainteresowanych tematyką wdrażania innowacji w rolnictwie i na obszarach wiejskich wciąż rośnie.
W ramach ułatwiania tworzenia sieci kontaktów pomiędzy partnerami KSOW, a także promocji SIR zamieszczono 31 artykułów/informacji w miesięczniku „Twój Doradca Rolniczy Rynek” wydawanym przez Ośrodek oraz 37 artykułów/informacji na stronie www.dodr.pl, w zakładce SIR, którą na bieżąco aktualizują pracownicy SIR. Do CDR w Brwinowie przesłano 18 artykułów/informacji dot. SIR i działania „Współpraca”, które zamieszczone zostały na portalu społecznościowym Facebook administrowanym przez Centrum. 
Ważnym elementem promocji SIR i podnoszenia poziomu wiedzy i umiejętności partnerów KSOW oraz podmiotów tworzących grupy operacyjne, a także wszystkich zainteresowanych tą tematyką była organizacja i obsługa 14 punktów informacyjno-promocyjnych. Informacje o działaniach Sieci na rzecz innowacji w rolnictwie i na obszarach wiejskich w województwie dolnośląskim przedstawiono w programie „Teraz Wieś” na kanale TVP3. Dodatkowo podczas prowadzenia wykładów nt. SIR i działania „Współpraca” przez pracowników ds. SIR prezentowano film „Innowacyjny Dolny Śląsk”. Produkcja filmu obejmowała materiał video z trzech operacji, zrealizowanych w ramach dwuletniego Planu operacyjnego KSOW na lata 2016-2017. 
W ramach swojej działalności dolnośląski zespół SIR, składający się z dwóch koordynatorów 
i brokera zrealizował łącznie 32 spotkania informacyjno-promocyjne, szkolenia i wykłady na temat Sieci dla 775 osób. Dzięki ww. działaniom możliwe było nie tylko popularyzowanie 
i rozpowszechnianie informacji o Sieci wśród zainteresowanych, ale także upowszechnianie wiedzy na temat wprowadzonych prekursorskich rozwiązań w rolnictwie i na obszarach wiejskich, wymiana dobrych praktyk i doświadczeń. Dzięki ww. spotkaniom tworzono sieć kontaktów pomiędzy rolnikami, przedstawicielami organizacji i instytucji rolniczych, naukowo-badawczych, administracji, branży rolno-spożywczej, doradcami, przedsiębiorcami, lokalnymi organizacjami oraz mieszkańcami obszarów wiejskich w zakresie wdrażania innowacyjnych rozwiązań. Podczas tych  spotkań prowadzone rozmowy z koordynatorami SIR i brokerem pozwoliły zainteresowanym ww. tematem zapytać o interesujące ich kwestie, wyjaśnić wątpliwości i podnieść swoją wiedzę 
w tym temacie. Komunikacja bezpośrednia umożliwiła lepsze i wiarygodniejsze przekazanie wiedzy i mechanizmów działania Sieci. Na bieżąco tłumaczono istotę sprawy, odpowiadano na pytania i wątpliwości beneficjentów nasuwające się podczas rozmów. Taki sposób przekazywania informacji zainteresowanym okazał się komunikacją efektywną, a więc taką kiedy informacje odczytywane były przez zainteresowanych beneficjentów identycznie, jak w zamierzeniu nadawcy (w tym przypadku koordynatora czy brokera).
W ramach wsparcia tworzenia i organizacji grup operacyjnych na rzecz innowacji oraz opracowania przez nie projektów broker zatrudniony w Ośrodku z pomocą koordynatorów przeprowadził łącznie 66 spotkań, szkoleń, wykładów i konsultacji indywidualnych i telefonicznych w ramach działania „Współpraca” dla 604 osób. Dzięki dużemu zaangażowaniu zatrudnionego w Ośrodku brokera Dolnośląski Ośrodek Doradztwa Rolniczego z siedzibą we Wrocławiu pełni rolę członka grup EPI w trzech konsorcjach:
1.  Grupa operacyjna „Wołowina z Zielonej Doliny” – projekt „Innowacyjne metody chowu bydła mięsnego w celu uzyskania wysokiej jakości dolnośląskiej wołowiny”. Lider projektu: Spółka „DOZEDO”. Członkowie grupy: Spółka „DOZEDO”, Dolnośląski Ośrodek Doradztwa Rolniczego z siedzibą we Wrocławiu, Uniwersytet Przyrodniczy we Wrocławiu, Uniwersytet Ekonomiczny 
w Krakowie, Gmina Radków, Gmina Bystrzyca, rolnicy prowadzący hodowlę bydła mięsnego (podpisana umowa konsorcjum). Złożono wniosek o przyznanie pomocy w ramach naboru wniosków na działanie M16 „Współpraca” objętego PROW na lata 2014-2020.
2.  Grupa operacyjna – projekt „Poprawa jakości ziarna zbóż oraz nasion rzepaku i roślin bobowatych poprzez innowacyjne nawożenie granulatem utworzonym na bazie pyłu bazaltowego 
z dodatkiem siarki”. Lider projektu: Poltegor – Instytut Badawczy. Członkowie grupy: Poltegor – Instytut Badawczy, IUNG Puławy – Zakład Herbologii i Technik Uprawy Roli we Wrocławiu, Politechnika Wrocławska, Dolnośląski Ośrodek Doradztwa Rolniczego z siedzibą we Wrocławiu, rolnik indywidualny (umowa konsorcjum w końcowym etapie, będzie podpisana). Wniosek 
o przyznanie pomocy na działanie M16 „Współpraca” w końcowym opracowaniu. Zostanie złożony do 14 stycznia 2019 r.
3.  Grupa operacyjna „IQ Grape” – projekt „Innowacyjne technologie wykorzystania i rozlewu wina gronowego, sposób organizacji produkcji jako czynniki podniesienia jakości produktów winiarskich wytworzonych lokalnie”. Lider projektu: Uniwersytet Przyrodniczy we Wrocławiu. Członkowie grupy: Uniwersytet Przyrodniczy we Wrocławiu, Dolnośląski Ośrodek Doradztwa Rolniczego 
z siedzibą we Wrocławiu, przedsiębiorcy produkujący wina, rolnicy – właściciele winnic (podpisana umowa konsorcjum). Wniosek o przyznanie pomocy na działanie M16 „Współpraca” 
kompletny do złożenia do 14 stycznia 2019 r.
Pracownicy Dolnośląskiego Ośrodka Doradztwa Rolniczego z siedzibą we Wrocławiu, 
a w szczególności pracownicy odpowiedzialni za realizację zadań SIR przez cały rok 2018 podnosili swoje kwalifikacje w zakresie wiedzy o SIR i działaniu „Współpraca”. Uczestniczono w 19 spotkaniach doskonalących, które organizowane były głównie przez Ministerstwo Rolnictwa 
i Rozwoju Wsi, Centrum Doradztwa Rolniczego w Brwinowie oraz Oddziały Centrum, ale także przez Agencję Restrukturyzacji i Modernizacji Rolnictwa. Dzięki powyższym doskonalono swoją wiedzę i umiejętności, tak aby w jak najlepszy sposób realizować zadania związane z SIR 
i działaniem „Współpraca”, promować je i pozyskiwać nowych zainteresowanych tym tematem.
Uczestniczono bezpośrednio w IV posiedzeniu Grupy Tematycznej ds. innowacji w rolnictwie i na obszarach wiejskich, a pięciokrotnie brano udział w trybie obiegowym tej Grupy. Ponadto ośmiokrotnie brano udział w trybie obiegowym Dolnośląskiej Grupy Roboczej ds. Krajowej Sieci Obszarów Wiejskich w celu akceptacji uchwał tej Grupy.
W ramach realizacji czynności związanych z wdrażaniem Planu operacyjnego KSOW na lata 2018-2019 w zakresie SIR przygotowano 4 propozycje operacji własnych, które zostały pozytywnie rozpatrzone na IV posiedzeniu Grupy Tematycznej ds. innowacji w rolnictwie i na obszarach wiejskich, a następnie je zrealizowano. Z Działania 2 zrealizowano 3 operacje własne, natomiast 
z Działania 5 jedną operację. Przeprowadzono ocenę dwóch wniosków o wybór operacji pod kątem spełnienia wymagań formalnych oraz spełnienia warunków wyboru operacji w ramach konkursu nr 2/2018 dla Partnerów Krajowej Sieci Obszarów Wiejskich. Po zakończeniu ww. procedury wnioski przesłano do CDR w Brwinowie do dalszej oceny. Z przesłanych do CDR wniosków jeden został rozpatrzony pozytywnie. Z Wnioskodawcą – Uniwersytetem Przyrodniczym we Wrocławiu zawarto umowę na realizację operacji pn. „Dolny Śląsk. Zielona dolina żywności i zdrowia – wyjazd studyjny dla partnerów KSOW”, a następnie prowadzono nadzór nad prawidłową realizacją operacji. Stała współpraca, konsultacje, udzielanie odpowiedzi na wątpliwości Partnera dot. realizacji operacji oraz bieżące informowanie o pojawiających się zmianach pozwoliło na sprawne rozliczenie złożonego wniosku o refundację, który rozpatrzono pozytywnie.
W roku 2018:
- sporządzono i złożono do centrali Agencji Restrukturyzacji i Modernizacji Rolnictwa  4 Wnioski o Przyznanie Pomocy Technicznej. Na dzień 31.12.2018 r. 3 z ww. wniosków zostały pozytywnie rozpatrzone przez ARiMR. Pozostały jeden wniosek znajduje się w ocenie,
- podpisano 5 Umów o Przyznanie Pomocy Technicznej,
- Sporządzono i złożono do centrali ARiMR 7 Wniosków o Płatność Pomocy Technicznej. Na dzień 31.12.2018 r. 4 z ww. wniosków zostały pozytywnie rozpatrzone i zrefundowane przez ARiMR na łączną kwotę 456 769,52 zł. Pozostałe 3 wnioski znajdują się w ocenie.
</t>
  </si>
  <si>
    <t>Jednostka wdrażająca: Śląski Ośrodek Doradztwa Rolniczego w Częstochowie</t>
  </si>
  <si>
    <t>Komentarz: Imprezy masowe: XXVII Krajowa Wystawa Rolnicza organizowana w ramach ogólnopolskich Dożynek Jasnogórskich i Dni Otwartych Drzwi w Mikołowie; Imprezy masowe poprzez różnorodność wystawiajacych się podmiotów (firmy zaopatrujące rolnictwo w środki produkcji, firmy z terenów wiejskich jako przykłady przedsiębiorczości, Lokalne Grupy Działania, Instytuty naukowe, produkty przetwórstwa z poziomu gospodarstwa itp) zaliczono jako inne (mieszane)</t>
  </si>
  <si>
    <t>Liczba uczestnków 80,000 tysięcy dotyczy osób odwiedzających XXVII Krajową Wystawę Rolniczą                                                                                                                                                                                                                                                                                                                                                                                                                                                                                                                                                                                                                                                                                                                              DOD w Mikołowie (liczbę uczestników oszacowano na podstawie relacji doradców z ŚODR i obłożenia miejsc parkingowych) - 10,000 odwiedzających                                                                                                                                                                                                                                                                                                                                                                 2 wyjazdy studyjne po 3 dni i 1 konferencja dwudniowa</t>
  </si>
  <si>
    <t xml:space="preserve"> Komentarz: 11 arytukułów zamieszczonych w Śląskich Aktualnościach Rolniczych (o realizowanych operacjach i cykl artykułów "Jak innowacje wpłynęly na rozwój rolnictwa"), 3 zamieszczone tylko w internecie oraz 1 publikacja "Krótkie łańcuchy dostaw żywności w oparciu o produkty regionalne w województwie śląskim" A5 w nakładzie 500 egzemplarzy</t>
  </si>
  <si>
    <t>Komentarz: Przesłane do CDR Brwinów</t>
  </si>
  <si>
    <t>Komentarz: Powstałe w kazdym z 17 Powiatowych Zespołów Doradztwa Rolniczego (PZDR) grupy tematyczne, tematy spotkań wskazane przez kierowników PZDR podczas warsztatów w ramach operacji "Modele współpracy PZDR województwa śląskiego z potencjalnymi Grupami Operacyjnymi", rekrutacja i wskazanie uczestników przez pracowników terenowych z PZDR</t>
  </si>
  <si>
    <t>Komentarz: Konsultacje na spotkaniach z grupami tematycznymi (fokusowymi) wyłonionymi w trakcie operacji "Modele współpracy PZDR województwa śląskiego z potencjalnymi Grupami Operacyjnymi" w 17 Powiatowych zespołach Doradztwa Rolniczego; 12 konsultacji związanych z powstawaniem i bieżącą pracą Grup Operacyjnych</t>
  </si>
  <si>
    <t xml:space="preserve">Komentarz: 2 warsztaty 2-dniowe w ramach PO, 1 spotkanie dotyczące SIR i działania Współpraca; 2 wizyty studyjne 3-dniowe w ramach PO. Wśród innych: 2 konferencje własne (1-dniowa i 2-dniowa) i 1 partnera (1-dniowa) w ramach PO oraz 5 spotkań nt SIR i realizacji Planu Operacyjnego (PO).  </t>
  </si>
  <si>
    <t>Komentarz: W spotkaniu dot SIR i działaniu Wspólpraca wzięli udział studenci i absolwenci wyższzych uczelni rolniczych i starszych klas szkół rolniczych - 20 osób; w działanaich szkoleniowych wzięli tez udział naukowcy i przedsiębiorcy</t>
  </si>
  <si>
    <t xml:space="preserve">W ramach dotacji celowej sfinansowano 2 etaty i 2 razy po ½ etatu.
- specjalista ds. SIR, koordynator wojewódzki – /pełny etat/: od 01.01.2018r. do 31.12.2018 r.,
- broker innowacji- /pełny etat /: od 01.01.2018r. do 31.12.2018r. 
-2 razy po 1/2 etatu/ od 01.11.2018r. do 31.12.2018r. z uwagi na zwolnienie się z pracy koordynatora SIR oraz przedłużającą się chorobę pracownika SIR i niepełną obsadę komórki organizacyjnej SIR
Zakupiono materiały biurowe oraz laptopa dla pracownika zatrudnionego w 100% w działaniach SIR w ramach zaoszczędzonych środków z funkcjonowania Złożono 2 wnioski o przyznanie pomocy technicznej do Departamentu Pomocy Technicznej w ARiMR w Warszawie  i 1 wniosek o płatność w ramach złożonych wcześniej WoPP
</t>
  </si>
  <si>
    <t>Jednostka wdrażająca: Jednostka Centralna KSOW</t>
  </si>
  <si>
    <t>Spotkanie z jednostkami regionalnymi w Brwinowie
GR -2 posiedzenia 95 osób
GTL - 3 posiedzenia 161 osób
GTI - 1 posiedzenie 47 osób
Zespoły GTI - 2 spotkania 44 osoby</t>
  </si>
  <si>
    <t xml:space="preserve">Komentarz: baza projektów 10, 3 projekty na konkurs nordycko-bałtyckiej sieci na portalu (kajaki, pólnocny szlak rybacki, niech cie zakole-P3 i P6), dwa projekty prezentowane na GTL (wyjazd studyjny dla LGD do Portugali, Akademia Umiejętności Animatorów LGD) </t>
  </si>
  <si>
    <t>GR - 2 posiedzenia i 4 obiegowo
GTL - 3 posiedzenia i 3 obiegowo
GTI - 1 posiedzenie i 5 obiegowo
2 zespoły GTI</t>
  </si>
  <si>
    <t>Komentarz: zespół roboczy ds. proceduralnych przy GTL; spotkanie jednostki centralnej KSOW z jednostkami regionalnymi KSOW 19-20.06.2018 nt. działan komunikacyjnych KSOW, gromadzenie dobrych praktyk, dobre praktyki w zakresie tworzenia sieci kontaktów, konkurs dla partnerów KSOW, sprawozdawczość  - 79 osób</t>
  </si>
  <si>
    <t>Komentarz: grupa dyskusyjna LGD na Facebooku - 647 członków</t>
  </si>
  <si>
    <t>Komentarz: dobre oraktyki do bazy projektow ENRD: Orzechowo jest nasze, Raj rowerowy, Zespól ekspertów. Prezentacje na spotkania NRN: Niech Cie Zakole, grupa dyskusyjna dla LGD na Facebook, gospodarstwo rolne Elzbiety Reitzig-film,  Inne: aktualizacja informacji dotyczących profilu polskiej sieci na portalu ENRD, profil wdrażania i sieciowania KSOW w 2018 r., ankieta na temat: Co funkcjonuje lepiej a co gorzej w KSOW?, ankieta dotycząca mediów społecznościowych, ankieta dotycząca stosowania praktyk komunikowania z partnerami KSOW, ankieta dotycząca korzystania  na portalu ENRD z zakładki sieciowanie i narzędzi NRN, ankieta dotycząca zbierania i upowszechniania przykładów projektów i dobrych praktyk oraz związanych z tym wyzwań i czynników sukcesu.</t>
  </si>
  <si>
    <t>Komentarz: tłumaczenie NRN communication survey 2018, CNS + instrukcja, Rural Inspiration Awards-entry template &amp; guidelines</t>
  </si>
  <si>
    <t>Koszty funkcjonowania: materiały, usługi obce, wynagrodzenia,składki, delegacje, udział partnerów i pracowników JC w spotkaniach organizowanych przez sieć europejską.</t>
  </si>
  <si>
    <t>Jednostka wdrażająca: Zestawienie zbiorcze</t>
  </si>
  <si>
    <t>Załącznik nr 2. Efekty realizacji działań planu działania w ujęciu ilościowym (WSS)</t>
  </si>
  <si>
    <t>Jednostka wdrażająca: MRiRW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</si>
</sst>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Calibri"/>
      <family val="2"/>
      <charset val="238"/>
      <scheme val="minor"/>
    </font>
    <font>
      <b/>
      <sz val="11"/>
      <color theme="1"/>
      <name val="Calibri"/>
      <family val="2"/>
      <charset val="238"/>
      <scheme val="minor"/>
    </font>
    <font>
      <b/>
      <sz val="24"/>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b/>
      <sz val="11"/>
      <color rgb="FFFF0000"/>
      <name val="Calibri"/>
      <family val="2"/>
      <charset val="238"/>
      <scheme val="minor"/>
    </font>
    <font>
      <sz val="10"/>
      <name val="Calibri"/>
      <family val="2"/>
      <scheme val="minor"/>
    </font>
    <font>
      <sz val="10"/>
      <color theme="1"/>
      <name val="Calibri"/>
      <family val="2"/>
      <charset val="238"/>
      <scheme val="minor"/>
    </font>
    <font>
      <b/>
      <sz val="10"/>
      <color theme="1"/>
      <name val="Calibri"/>
      <family val="2"/>
      <charset val="238"/>
      <scheme val="minor"/>
    </font>
    <font>
      <sz val="11"/>
      <color rgb="FF000000"/>
      <name val="Calibri"/>
      <family val="2"/>
      <scheme val="minor"/>
    </font>
    <font>
      <sz val="10"/>
      <name val="Calibri"/>
      <family val="2"/>
      <charset val="238"/>
      <scheme val="minor"/>
    </font>
    <font>
      <sz val="16"/>
      <color theme="1"/>
      <name val="Calibri"/>
      <family val="2"/>
      <scheme val="minor"/>
    </font>
    <font>
      <b/>
      <sz val="14"/>
      <name val="Calibri"/>
      <family val="2"/>
      <scheme val="minor"/>
    </font>
    <font>
      <sz val="9"/>
      <color theme="1"/>
      <name val="Calibri"/>
      <family val="2"/>
      <scheme val="minor"/>
    </font>
    <font>
      <b/>
      <sz val="14"/>
      <name val="Calibri"/>
      <family val="2"/>
      <charset val="238"/>
      <scheme val="minor"/>
    </font>
    <font>
      <sz val="11"/>
      <name val="Calibri"/>
      <family val="2"/>
      <scheme val="minor"/>
    </font>
    <font>
      <b/>
      <sz val="16"/>
      <name val="Calibri"/>
      <family val="2"/>
      <scheme val="minor"/>
    </font>
    <font>
      <sz val="12"/>
      <color theme="1"/>
      <name val="Calibri"/>
      <family val="2"/>
      <scheme val="minor"/>
    </font>
    <font>
      <sz val="11"/>
      <color rgb="FFFF0000"/>
      <name val="Calibri"/>
      <family val="2"/>
      <scheme val="minor"/>
    </font>
    <font>
      <sz val="11"/>
      <color indexed="8"/>
      <name val="Calibri"/>
      <family val="2"/>
      <scheme val="minor"/>
    </font>
    <font>
      <sz val="11"/>
      <color theme="1"/>
      <name val="Calibri"/>
      <family val="2"/>
      <charset val="238"/>
      <scheme val="minor"/>
    </font>
    <font>
      <b/>
      <sz val="12"/>
      <color rgb="FFFF0000"/>
      <name val="Calibri"/>
      <family val="2"/>
      <charset val="238"/>
      <scheme val="minor"/>
    </font>
    <font>
      <b/>
      <sz val="10"/>
      <color rgb="FFFF0000"/>
      <name val="Calibri"/>
      <family val="2"/>
      <charset val="238"/>
      <scheme val="minor"/>
    </font>
    <font>
      <i/>
      <sz val="10"/>
      <color theme="1"/>
      <name val="Calibri"/>
      <family val="2"/>
      <charset val="238"/>
      <scheme val="minor"/>
    </font>
    <font>
      <sz val="11"/>
      <color rgb="FF000000"/>
      <name val="Calibri"/>
      <family val="2"/>
      <charset val="238"/>
      <scheme val="minor"/>
    </font>
    <font>
      <b/>
      <sz val="10"/>
      <name val="Calibri"/>
      <family val="2"/>
      <charset val="238"/>
      <scheme val="minor"/>
    </font>
    <font>
      <sz val="10"/>
      <color indexed="8"/>
      <name val="Calibri"/>
      <family val="2"/>
      <charset val="238"/>
    </font>
    <font>
      <b/>
      <sz val="10"/>
      <color indexed="8"/>
      <name val="Calibri"/>
      <family val="2"/>
      <charset val="238"/>
    </font>
    <font>
      <sz val="10"/>
      <name val="Calibri"/>
      <family val="2"/>
      <charset val="238"/>
    </font>
    <font>
      <sz val="10"/>
      <color rgb="FFFF0000"/>
      <name val="Calibri"/>
      <family val="2"/>
      <charset val="238"/>
    </font>
    <font>
      <sz val="10"/>
      <color indexed="8"/>
      <name val="Calibri"/>
      <family val="2"/>
    </font>
    <font>
      <b/>
      <sz val="11"/>
      <color rgb="FF000000"/>
      <name val="Calibri"/>
      <family val="2"/>
      <charset val="238"/>
      <scheme val="minor"/>
    </font>
    <font>
      <sz val="12"/>
      <color theme="1"/>
      <name val="Arial"/>
      <family val="2"/>
      <charset val="238"/>
    </font>
    <font>
      <b/>
      <u/>
      <sz val="10"/>
      <color theme="1"/>
      <name val="Calibri"/>
      <family val="2"/>
      <charset val="238"/>
      <scheme val="minor"/>
    </font>
    <font>
      <b/>
      <u/>
      <sz val="10"/>
      <name val="Calibri"/>
      <family val="2"/>
      <charset val="238"/>
      <scheme val="minor"/>
    </font>
    <font>
      <b/>
      <sz val="11"/>
      <name val="Calibri"/>
      <family val="2"/>
      <charset val="238"/>
      <scheme val="minor"/>
    </font>
    <font>
      <u/>
      <sz val="10"/>
      <color theme="1"/>
      <name val="Calibri"/>
      <family val="2"/>
      <charset val="238"/>
      <scheme val="minor"/>
    </font>
    <font>
      <i/>
      <sz val="10"/>
      <name val="Calibri"/>
      <family val="2"/>
      <charset val="238"/>
      <scheme val="minor"/>
    </font>
    <font>
      <sz val="10"/>
      <color theme="1"/>
      <name val="Arial CE"/>
      <charset val="238"/>
    </font>
    <font>
      <sz val="16"/>
      <color theme="1"/>
      <name val="Calibri"/>
      <family val="2"/>
      <charset val="238"/>
      <scheme val="minor"/>
    </font>
    <font>
      <sz val="11"/>
      <name val="Calibri"/>
      <family val="2"/>
      <charset val="238"/>
      <scheme val="minor"/>
    </font>
    <font>
      <sz val="10"/>
      <color rgb="FF0070C0"/>
      <name val="Calibri"/>
      <family val="2"/>
      <charset val="238"/>
      <scheme val="minor"/>
    </font>
    <font>
      <sz val="10"/>
      <color rgb="FFFF0000"/>
      <name val="Calibri"/>
      <family val="2"/>
      <charset val="238"/>
      <scheme val="minor"/>
    </font>
    <font>
      <sz val="11"/>
      <color indexed="8"/>
      <name val="Calibri"/>
      <family val="2"/>
    </font>
    <font>
      <b/>
      <sz val="12"/>
      <color theme="1"/>
      <name val="Calibri"/>
      <family val="2"/>
      <charset val="238"/>
      <scheme val="minor"/>
    </font>
    <font>
      <b/>
      <sz val="9"/>
      <color indexed="81"/>
      <name val="Tahoma"/>
      <family val="2"/>
      <charset val="238"/>
    </font>
    <font>
      <sz val="9"/>
      <color indexed="81"/>
      <name val="Tahoma"/>
      <family val="2"/>
      <charset val="238"/>
    </font>
    <font>
      <sz val="12"/>
      <color theme="1"/>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4.9989318521683403E-2"/>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double">
        <color auto="1"/>
      </right>
      <top style="medium">
        <color auto="1"/>
      </top>
      <bottom style="hair">
        <color auto="1"/>
      </bottom>
      <diagonal/>
    </border>
    <border>
      <left style="double">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diagonal/>
    </border>
    <border>
      <left/>
      <right style="hair">
        <color auto="1"/>
      </right>
      <top/>
      <bottom/>
      <diagonal/>
    </border>
    <border>
      <left style="hair">
        <color auto="1"/>
      </left>
      <right style="thin">
        <color auto="1"/>
      </right>
      <top style="hair">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double">
        <color auto="1"/>
      </right>
      <top style="hair">
        <color auto="1"/>
      </top>
      <bottom style="medium">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double">
        <color auto="1"/>
      </right>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right style="double">
        <color auto="1"/>
      </right>
      <top style="hair">
        <color auto="1"/>
      </top>
      <bottom style="hair">
        <color auto="1"/>
      </bottom>
      <diagonal/>
    </border>
    <border>
      <left/>
      <right style="double">
        <color auto="1"/>
      </right>
      <top style="hair">
        <color auto="1"/>
      </top>
      <bottom style="medium">
        <color auto="1"/>
      </bottom>
      <diagonal/>
    </border>
    <border>
      <left style="thin">
        <color auto="1"/>
      </left>
      <right/>
      <top style="medium">
        <color auto="1"/>
      </top>
      <bottom style="hair">
        <color auto="1"/>
      </bottom>
      <diagonal/>
    </border>
    <border>
      <left/>
      <right style="double">
        <color auto="1"/>
      </right>
      <top style="medium">
        <color auto="1"/>
      </top>
      <bottom style="hair">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auto="1"/>
      </left>
      <right style="double">
        <color auto="1"/>
      </right>
      <top/>
      <bottom style="hair">
        <color auto="1"/>
      </bottom>
      <diagonal/>
    </border>
    <border>
      <left/>
      <right/>
      <top style="medium">
        <color auto="1"/>
      </top>
      <bottom style="medium">
        <color auto="1"/>
      </bottom>
      <diagonal/>
    </border>
    <border>
      <left style="hair">
        <color auto="1"/>
      </left>
      <right style="thin">
        <color auto="1"/>
      </right>
      <top/>
      <bottom/>
      <diagonal/>
    </border>
    <border>
      <left style="hair">
        <color auto="1"/>
      </left>
      <right style="thin">
        <color auto="1"/>
      </right>
      <top style="medium">
        <color auto="1"/>
      </top>
      <bottom style="hair">
        <color auto="1"/>
      </bottom>
      <diagonal/>
    </border>
    <border>
      <left/>
      <right style="double">
        <color auto="1"/>
      </right>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double">
        <color auto="1"/>
      </left>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style="medium">
        <color auto="1"/>
      </right>
      <top/>
      <bottom/>
      <diagonal/>
    </border>
    <border>
      <left style="hair">
        <color auto="1"/>
      </left>
      <right style="medium">
        <color auto="1"/>
      </right>
      <top/>
      <bottom style="medium">
        <color auto="1"/>
      </bottom>
      <diagonal/>
    </border>
    <border>
      <left style="medium">
        <color auto="1"/>
      </left>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hair">
        <color auto="1"/>
      </left>
      <right/>
      <top/>
      <bottom style="hair">
        <color auto="1"/>
      </bottom>
      <diagonal/>
    </border>
  </borders>
  <cellStyleXfs count="2">
    <xf numFmtId="0" fontId="0" fillId="0" borderId="0"/>
    <xf numFmtId="0" fontId="23" fillId="0" borderId="0"/>
  </cellStyleXfs>
  <cellXfs count="676">
    <xf numFmtId="0" fontId="0" fillId="0" borderId="0" xfId="0"/>
    <xf numFmtId="0" fontId="2" fillId="0" borderId="0" xfId="0" applyFont="1"/>
    <xf numFmtId="0" fontId="3" fillId="0" borderId="0" xfId="0" applyFont="1"/>
    <xf numFmtId="0" fontId="3" fillId="0" borderId="1" xfId="0" applyFont="1" applyBorder="1"/>
    <xf numFmtId="0" fontId="3" fillId="0" borderId="2" xfId="0" applyFont="1" applyBorder="1"/>
    <xf numFmtId="0" fontId="3" fillId="2" borderId="3" xfId="0" applyFont="1" applyFill="1" applyBorder="1"/>
    <xf numFmtId="0" fontId="4" fillId="3" borderId="0" xfId="0" applyFont="1" applyFill="1"/>
    <xf numFmtId="0" fontId="5" fillId="3" borderId="0" xfId="0" applyFont="1" applyFill="1"/>
    <xf numFmtId="0" fontId="0" fillId="3" borderId="0" xfId="0" applyFill="1"/>
    <xf numFmtId="0" fontId="0" fillId="0" borderId="0" xfId="0" applyFill="1"/>
    <xf numFmtId="0" fontId="6" fillId="0" borderId="0" xfId="0" applyFont="1"/>
    <xf numFmtId="0" fontId="0" fillId="0" borderId="0" xfId="0" applyAlignment="1">
      <alignment wrapText="1"/>
    </xf>
    <xf numFmtId="0" fontId="7" fillId="3" borderId="4" xfId="0" applyFont="1" applyFill="1" applyBorder="1" applyAlignment="1">
      <alignment wrapText="1"/>
    </xf>
    <xf numFmtId="0" fontId="8" fillId="3" borderId="7" xfId="0" applyFont="1" applyFill="1" applyBorder="1" applyAlignment="1">
      <alignment horizontal="centerContinuous" wrapText="1"/>
    </xf>
    <xf numFmtId="0" fontId="0" fillId="3" borderId="8" xfId="0" applyFill="1" applyBorder="1" applyAlignment="1">
      <alignment horizontal="centerContinuous" wrapText="1"/>
    </xf>
    <xf numFmtId="0" fontId="1" fillId="3" borderId="8" xfId="0" applyFont="1" applyFill="1" applyBorder="1" applyAlignment="1">
      <alignment horizontal="left" wrapText="1"/>
    </xf>
    <xf numFmtId="0" fontId="0" fillId="3" borderId="9" xfId="0" applyFill="1" applyBorder="1" applyAlignment="1">
      <alignment horizontal="centerContinuous" wrapText="1"/>
    </xf>
    <xf numFmtId="0" fontId="8" fillId="3" borderId="10" xfId="0" applyFont="1" applyFill="1" applyBorder="1" applyAlignment="1">
      <alignment horizontal="centerContinuous" wrapText="1"/>
    </xf>
    <xf numFmtId="0" fontId="8" fillId="3" borderId="11" xfId="0" applyFont="1" applyFill="1" applyBorder="1" applyAlignment="1">
      <alignment horizontal="centerContinuous" wrapText="1"/>
    </xf>
    <xf numFmtId="0" fontId="8" fillId="3" borderId="12" xfId="0" applyFont="1" applyFill="1" applyBorder="1" applyAlignment="1">
      <alignment horizontal="centerContinuous" wrapText="1"/>
    </xf>
    <xf numFmtId="0" fontId="0" fillId="0" borderId="0" xfId="0" applyBorder="1" applyAlignment="1">
      <alignment wrapText="1"/>
    </xf>
    <xf numFmtId="0" fontId="7" fillId="3" borderId="13" xfId="0" applyFont="1" applyFill="1" applyBorder="1" applyAlignment="1">
      <alignment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10" fillId="3" borderId="18" xfId="0" applyFont="1" applyFill="1" applyBorder="1" applyAlignment="1">
      <alignment horizontal="center" wrapText="1"/>
    </xf>
    <xf numFmtId="0" fontId="5" fillId="3" borderId="19" xfId="0" applyFont="1" applyFill="1" applyBorder="1" applyAlignment="1">
      <alignment wrapText="1"/>
    </xf>
    <xf numFmtId="0" fontId="11" fillId="3" borderId="20" xfId="0" applyFont="1" applyFill="1" applyBorder="1" applyAlignment="1">
      <alignment wrapText="1"/>
    </xf>
    <xf numFmtId="0" fontId="11" fillId="3" borderId="17" xfId="0" applyFont="1" applyFill="1" applyBorder="1" applyAlignment="1">
      <alignment wrapText="1"/>
    </xf>
    <xf numFmtId="0" fontId="11" fillId="3" borderId="16" xfId="0" applyFont="1" applyFill="1" applyBorder="1" applyAlignment="1">
      <alignment wrapText="1"/>
    </xf>
    <xf numFmtId="0" fontId="11" fillId="3" borderId="21" xfId="0" applyFont="1" applyFill="1" applyBorder="1" applyAlignment="1">
      <alignment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3" fillId="0" borderId="24" xfId="0" applyFont="1" applyBorder="1"/>
    <xf numFmtId="0" fontId="0" fillId="2" borderId="16" xfId="0" applyFill="1" applyBorder="1"/>
    <xf numFmtId="0" fontId="0" fillId="2" borderId="17" xfId="0" applyFill="1" applyBorder="1"/>
    <xf numFmtId="0" fontId="0" fillId="2" borderId="18" xfId="0" applyFill="1" applyBorder="1"/>
    <xf numFmtId="0" fontId="0" fillId="4" borderId="19" xfId="0" applyFill="1" applyBorder="1"/>
    <xf numFmtId="0" fontId="0" fillId="2" borderId="20" xfId="0" applyFill="1" applyBorder="1"/>
    <xf numFmtId="0" fontId="0" fillId="2" borderId="21" xfId="0" applyFill="1" applyBorder="1"/>
    <xf numFmtId="0" fontId="0" fillId="0" borderId="16" xfId="0" applyFill="1" applyBorder="1"/>
    <xf numFmtId="0" fontId="0" fillId="0" borderId="17" xfId="0" applyFill="1" applyBorder="1"/>
    <xf numFmtId="0" fontId="0" fillId="0" borderId="18" xfId="0" applyFill="1" applyBorder="1"/>
    <xf numFmtId="0" fontId="0" fillId="0" borderId="20" xfId="0" applyFill="1" applyBorder="1"/>
    <xf numFmtId="0" fontId="0" fillId="0" borderId="21" xfId="0" applyFill="1" applyBorder="1"/>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8" fillId="4" borderId="27" xfId="0" applyFont="1" applyFill="1" applyBorder="1" applyAlignment="1">
      <alignment horizontal="right"/>
    </xf>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applyAlignment="1">
      <alignment horizontal="center" vertical="center"/>
    </xf>
    <xf numFmtId="0" fontId="0" fillId="4" borderId="29" xfId="0" applyFill="1" applyBorder="1" applyAlignment="1">
      <alignment horizontal="center" vertical="center"/>
    </xf>
    <xf numFmtId="0" fontId="0" fillId="4" borderId="33" xfId="0" applyFill="1" applyBorder="1" applyAlignment="1">
      <alignment horizontal="center" vertical="center"/>
    </xf>
    <xf numFmtId="0" fontId="8" fillId="0" borderId="0" xfId="0" applyFont="1" applyAlignment="1">
      <alignment horizontal="right"/>
    </xf>
    <xf numFmtId="0" fontId="5" fillId="3" borderId="5" xfId="0" applyFont="1" applyFill="1" applyBorder="1" applyAlignment="1">
      <alignment wrapText="1"/>
    </xf>
    <xf numFmtId="0" fontId="7" fillId="3" borderId="22" xfId="0" applyFont="1" applyFill="1" applyBorder="1" applyAlignment="1">
      <alignment wrapText="1"/>
    </xf>
    <xf numFmtId="0" fontId="5" fillId="3" borderId="14" xfId="0" applyFont="1" applyFill="1" applyBorder="1" applyAlignment="1">
      <alignment horizontal="center" wrapText="1"/>
    </xf>
    <xf numFmtId="0" fontId="6" fillId="3" borderId="16" xfId="0" applyFont="1" applyFill="1" applyBorder="1" applyAlignment="1">
      <alignment wrapText="1"/>
    </xf>
    <xf numFmtId="0" fontId="6" fillId="3" borderId="17" xfId="0" applyFont="1" applyFill="1" applyBorder="1" applyAlignment="1">
      <alignment wrapText="1"/>
    </xf>
    <xf numFmtId="0" fontId="10" fillId="3" borderId="18" xfId="0" applyFont="1" applyFill="1" applyBorder="1" applyAlignment="1">
      <alignment wrapText="1"/>
    </xf>
    <xf numFmtId="0" fontId="0" fillId="0" borderId="0" xfId="0" applyAlignment="1">
      <alignment vertical="center" wrapText="1"/>
    </xf>
    <xf numFmtId="0" fontId="6" fillId="0" borderId="0" xfId="0" applyFont="1" applyAlignment="1">
      <alignment vertical="center" wrapText="1"/>
    </xf>
    <xf numFmtId="0" fontId="4" fillId="5" borderId="0" xfId="0" applyFont="1" applyFill="1"/>
    <xf numFmtId="0" fontId="5" fillId="5" borderId="0" xfId="0" applyFont="1" applyFill="1"/>
    <xf numFmtId="0" fontId="0" fillId="5" borderId="0" xfId="0" applyFill="1"/>
    <xf numFmtId="0" fontId="5" fillId="5" borderId="36" xfId="0" applyFont="1" applyFill="1" applyBorder="1" applyAlignment="1">
      <alignment horizontal="centerContinuous" wrapText="1"/>
    </xf>
    <xf numFmtId="0" fontId="6" fillId="5" borderId="37" xfId="0" applyFont="1" applyFill="1" applyBorder="1" applyAlignment="1">
      <alignment horizontal="centerContinuous" wrapText="1"/>
    </xf>
    <xf numFmtId="0" fontId="6" fillId="5" borderId="38" xfId="0" applyFont="1" applyFill="1" applyBorder="1" applyAlignment="1">
      <alignment horizontal="centerContinuous" wrapText="1"/>
    </xf>
    <xf numFmtId="0" fontId="11" fillId="5" borderId="40" xfId="0" applyFont="1" applyFill="1" applyBorder="1" applyAlignment="1">
      <alignment wrapText="1"/>
    </xf>
    <xf numFmtId="0" fontId="6" fillId="5" borderId="41" xfId="0" applyFont="1" applyFill="1" applyBorder="1" applyAlignment="1">
      <alignment wrapText="1"/>
    </xf>
    <xf numFmtId="0" fontId="6" fillId="5" borderId="42" xfId="0" applyFont="1" applyFill="1" applyBorder="1" applyAlignment="1">
      <alignment wrapText="1"/>
    </xf>
    <xf numFmtId="0" fontId="11" fillId="5" borderId="42" xfId="0" applyFont="1" applyFill="1" applyBorder="1" applyAlignment="1">
      <alignment wrapText="1"/>
    </xf>
    <xf numFmtId="0" fontId="6" fillId="5" borderId="43" xfId="0" applyFont="1" applyFill="1" applyBorder="1" applyAlignment="1">
      <alignment wrapText="1"/>
    </xf>
    <xf numFmtId="0" fontId="13" fillId="2" borderId="17" xfId="0" applyFont="1" applyFill="1" applyBorder="1"/>
    <xf numFmtId="0" fontId="0" fillId="2" borderId="40" xfId="0" applyFill="1" applyBorder="1"/>
    <xf numFmtId="0" fontId="0" fillId="2" borderId="41" xfId="0" applyFill="1" applyBorder="1"/>
    <xf numFmtId="0" fontId="0" fillId="2" borderId="43" xfId="0" applyFill="1" applyBorder="1"/>
    <xf numFmtId="0" fontId="13" fillId="0" borderId="17" xfId="0" applyFont="1" applyFill="1" applyBorder="1"/>
    <xf numFmtId="0" fontId="13" fillId="2" borderId="17" xfId="0" applyFont="1" applyFill="1" applyBorder="1" applyAlignment="1">
      <alignment horizontal="center" vertical="center"/>
    </xf>
    <xf numFmtId="0" fontId="0" fillId="4" borderId="29" xfId="0" applyFont="1" applyFill="1" applyBorder="1" applyAlignment="1">
      <alignment horizontal="right"/>
    </xf>
    <xf numFmtId="0" fontId="0" fillId="4" borderId="32" xfId="0" applyFill="1" applyBorder="1"/>
    <xf numFmtId="0" fontId="0" fillId="4" borderId="33" xfId="0" applyFill="1" applyBorder="1"/>
    <xf numFmtId="0" fontId="4" fillId="6" borderId="0" xfId="0" applyFont="1" applyFill="1"/>
    <xf numFmtId="0" fontId="5" fillId="6" borderId="0" xfId="0" applyFont="1" applyFill="1"/>
    <xf numFmtId="0" fontId="15" fillId="6" borderId="0" xfId="0" applyFont="1" applyFill="1"/>
    <xf numFmtId="0" fontId="15" fillId="0" borderId="0" xfId="0" applyFont="1" applyFill="1"/>
    <xf numFmtId="0" fontId="8" fillId="0" borderId="0" xfId="0" applyFont="1"/>
    <xf numFmtId="0" fontId="5" fillId="0" borderId="0" xfId="0" applyFont="1"/>
    <xf numFmtId="0" fontId="5" fillId="6" borderId="36" xfId="0" applyFont="1" applyFill="1" applyBorder="1" applyAlignment="1">
      <alignment horizontal="centerContinuous" wrapText="1"/>
    </xf>
    <xf numFmtId="0" fontId="6" fillId="6" borderId="37" xfId="0" applyFont="1" applyFill="1" applyBorder="1" applyAlignment="1">
      <alignment horizontal="centerContinuous" wrapText="1"/>
    </xf>
    <xf numFmtId="0" fontId="6" fillId="6" borderId="38" xfId="0" applyFont="1" applyFill="1" applyBorder="1" applyAlignment="1">
      <alignment horizontal="centerContinuous" wrapText="1"/>
    </xf>
    <xf numFmtId="0" fontId="11" fillId="6" borderId="40" xfId="0" applyFont="1" applyFill="1" applyBorder="1" applyAlignment="1">
      <alignment wrapText="1"/>
    </xf>
    <xf numFmtId="0" fontId="6" fillId="6" borderId="41" xfId="0" applyFont="1" applyFill="1" applyBorder="1" applyAlignment="1">
      <alignment wrapText="1"/>
    </xf>
    <xf numFmtId="0" fontId="6" fillId="6" borderId="42" xfId="0" applyFont="1" applyFill="1" applyBorder="1" applyAlignment="1">
      <alignment wrapText="1"/>
    </xf>
    <xf numFmtId="0" fontId="11" fillId="6" borderId="42" xfId="0" applyFont="1" applyFill="1" applyBorder="1" applyAlignment="1">
      <alignment wrapText="1"/>
    </xf>
    <xf numFmtId="0" fontId="6" fillId="6" borderId="43" xfId="0" applyFont="1" applyFill="1" applyBorder="1" applyAlignment="1">
      <alignment wrapText="1"/>
    </xf>
    <xf numFmtId="0" fontId="0" fillId="2" borderId="45" xfId="0" applyFill="1" applyBorder="1"/>
    <xf numFmtId="0" fontId="0" fillId="0" borderId="45" xfId="0" applyFill="1" applyBorder="1"/>
    <xf numFmtId="0" fontId="8" fillId="4" borderId="46" xfId="0" applyFont="1" applyFill="1" applyBorder="1"/>
    <xf numFmtId="0" fontId="4" fillId="7" borderId="0" xfId="0" applyFont="1" applyFill="1"/>
    <xf numFmtId="0" fontId="5" fillId="7" borderId="0" xfId="0" applyFont="1" applyFill="1"/>
    <xf numFmtId="0" fontId="0" fillId="7" borderId="0" xfId="0" applyFill="1"/>
    <xf numFmtId="0" fontId="4" fillId="0" borderId="0" xfId="0" applyFont="1" applyFill="1"/>
    <xf numFmtId="0" fontId="5" fillId="0" borderId="0" xfId="0" applyFont="1" applyFill="1"/>
    <xf numFmtId="0" fontId="6" fillId="7" borderId="47" xfId="0" applyFont="1" applyFill="1" applyBorder="1" applyAlignment="1">
      <alignment wrapText="1"/>
    </xf>
    <xf numFmtId="0" fontId="6" fillId="7" borderId="37" xfId="0" applyFont="1" applyFill="1" applyBorder="1" applyAlignment="1">
      <alignment wrapText="1"/>
    </xf>
    <xf numFmtId="0" fontId="5" fillId="7" borderId="36" xfId="0" applyFont="1" applyFill="1" applyBorder="1" applyAlignment="1">
      <alignment horizontal="centerContinuous" wrapText="1"/>
    </xf>
    <xf numFmtId="0" fontId="5" fillId="7" borderId="37" xfId="0" applyFont="1" applyFill="1" applyBorder="1" applyAlignment="1">
      <alignment horizontal="centerContinuous" wrapText="1"/>
    </xf>
    <xf numFmtId="0" fontId="5" fillId="7" borderId="38" xfId="0" applyFont="1" applyFill="1" applyBorder="1" applyAlignment="1">
      <alignment horizontal="centerContinuous" wrapText="1"/>
    </xf>
    <xf numFmtId="0" fontId="6" fillId="0" borderId="0" xfId="0" applyFont="1" applyFill="1" applyBorder="1" applyAlignment="1">
      <alignment wrapText="1"/>
    </xf>
    <xf numFmtId="0" fontId="6" fillId="7" borderId="16" xfId="0" applyFont="1" applyFill="1" applyBorder="1" applyAlignment="1">
      <alignment wrapText="1"/>
    </xf>
    <xf numFmtId="0" fontId="6" fillId="7" borderId="17" xfId="0" applyFont="1" applyFill="1" applyBorder="1" applyAlignment="1">
      <alignment wrapText="1"/>
    </xf>
    <xf numFmtId="0" fontId="11" fillId="7" borderId="40" xfId="0" applyFont="1" applyFill="1" applyBorder="1" applyAlignment="1">
      <alignment wrapText="1"/>
    </xf>
    <xf numFmtId="0" fontId="6" fillId="7" borderId="41" xfId="0" applyFont="1" applyFill="1" applyBorder="1" applyAlignment="1">
      <alignment wrapText="1"/>
    </xf>
    <xf numFmtId="0" fontId="6" fillId="7" borderId="42" xfId="0" applyFont="1" applyFill="1" applyBorder="1" applyAlignment="1">
      <alignment wrapText="1"/>
    </xf>
    <xf numFmtId="0" fontId="11" fillId="7" borderId="42" xfId="0" applyFont="1" applyFill="1" applyBorder="1" applyAlignment="1">
      <alignment wrapText="1"/>
    </xf>
    <xf numFmtId="0" fontId="6" fillId="7" borderId="43" xfId="0" applyFont="1" applyFill="1" applyBorder="1" applyAlignment="1">
      <alignment wrapText="1"/>
    </xf>
    <xf numFmtId="0" fontId="0" fillId="2" borderId="20" xfId="0" applyFont="1" applyFill="1" applyBorder="1"/>
    <xf numFmtId="0" fontId="0" fillId="2" borderId="17" xfId="0" applyFont="1" applyFill="1" applyBorder="1"/>
    <xf numFmtId="0" fontId="0" fillId="2" borderId="21" xfId="0" applyFont="1" applyFill="1" applyBorder="1"/>
    <xf numFmtId="0" fontId="0" fillId="0" borderId="20" xfId="0" applyFont="1" applyFill="1" applyBorder="1"/>
    <xf numFmtId="0" fontId="0" fillId="0" borderId="17" xfId="0" applyFont="1" applyFill="1" applyBorder="1"/>
    <xf numFmtId="0" fontId="0" fillId="0" borderId="21" xfId="0" applyFont="1" applyFill="1" applyBorder="1"/>
    <xf numFmtId="0" fontId="0" fillId="4" borderId="32" xfId="0" applyFont="1" applyFill="1" applyBorder="1"/>
    <xf numFmtId="0" fontId="0" fillId="4" borderId="29" xfId="0" applyFont="1" applyFill="1" applyBorder="1"/>
    <xf numFmtId="0" fontId="0" fillId="4" borderId="33" xfId="0" applyFont="1" applyFill="1" applyBorder="1"/>
    <xf numFmtId="0" fontId="0" fillId="0" borderId="0" xfId="0"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right"/>
    </xf>
    <xf numFmtId="0" fontId="0" fillId="0" borderId="0" xfId="0" applyBorder="1"/>
    <xf numFmtId="0" fontId="0" fillId="0" borderId="0" xfId="0" applyFont="1" applyBorder="1"/>
    <xf numFmtId="0" fontId="17" fillId="7" borderId="41" xfId="0" applyFont="1" applyFill="1" applyBorder="1" applyAlignment="1">
      <alignment wrapText="1"/>
    </xf>
    <xf numFmtId="0" fontId="0" fillId="0" borderId="0" xfId="0" applyFont="1" applyFill="1" applyBorder="1"/>
    <xf numFmtId="0" fontId="6" fillId="7" borderId="6" xfId="0" applyFont="1" applyFill="1" applyBorder="1" applyAlignment="1">
      <alignment horizontal="center" wrapText="1"/>
    </xf>
    <xf numFmtId="0" fontId="6" fillId="7" borderId="47" xfId="0" applyFont="1" applyFill="1" applyBorder="1" applyAlignment="1">
      <alignment horizontal="centerContinuous" wrapText="1"/>
    </xf>
    <xf numFmtId="0" fontId="6" fillId="7" borderId="37" xfId="0" applyFont="1" applyFill="1" applyBorder="1" applyAlignment="1">
      <alignment horizontal="centerContinuous" wrapText="1"/>
    </xf>
    <xf numFmtId="0" fontId="6" fillId="7" borderId="48" xfId="0" applyFont="1" applyFill="1" applyBorder="1" applyAlignment="1">
      <alignment horizontal="centerContinuous" wrapText="1"/>
    </xf>
    <xf numFmtId="0" fontId="6" fillId="7" borderId="15" xfId="0" applyFont="1" applyFill="1" applyBorder="1" applyAlignment="1">
      <alignment horizontal="center" wrapText="1"/>
    </xf>
    <xf numFmtId="0" fontId="5" fillId="7" borderId="19" xfId="0" applyFont="1" applyFill="1" applyBorder="1" applyAlignment="1">
      <alignment wrapText="1"/>
    </xf>
    <xf numFmtId="0" fontId="0" fillId="4" borderId="19" xfId="0" applyFont="1" applyFill="1" applyBorder="1"/>
    <xf numFmtId="0" fontId="8" fillId="4" borderId="31"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right"/>
    </xf>
    <xf numFmtId="0" fontId="0" fillId="0" borderId="0" xfId="0" applyFill="1" applyBorder="1"/>
    <xf numFmtId="0" fontId="8" fillId="0" borderId="0" xfId="0" applyFont="1" applyFill="1" applyBorder="1"/>
    <xf numFmtId="0" fontId="4" fillId="8" borderId="0" xfId="0" applyFont="1" applyFill="1"/>
    <xf numFmtId="0" fontId="5" fillId="8" borderId="0" xfId="0" applyFont="1" applyFill="1"/>
    <xf numFmtId="0" fontId="0" fillId="8" borderId="0" xfId="0" applyFill="1"/>
    <xf numFmtId="0" fontId="6" fillId="8" borderId="37" xfId="0" applyFont="1" applyFill="1" applyBorder="1" applyAlignment="1">
      <alignment horizontal="centerContinuous" wrapText="1"/>
    </xf>
    <xf numFmtId="0" fontId="6" fillId="8" borderId="50" xfId="0" applyFont="1" applyFill="1" applyBorder="1" applyAlignment="1">
      <alignment horizontal="centerContinuous" wrapText="1"/>
    </xf>
    <xf numFmtId="0" fontId="14" fillId="8" borderId="37" xfId="0" applyFont="1" applyFill="1" applyBorder="1" applyAlignment="1">
      <alignment horizontal="centerContinuous" wrapText="1"/>
    </xf>
    <xf numFmtId="0" fontId="6" fillId="8" borderId="38" xfId="0" applyFont="1" applyFill="1" applyBorder="1" applyAlignment="1">
      <alignment horizontal="centerContinuous" wrapText="1"/>
    </xf>
    <xf numFmtId="0" fontId="6" fillId="8" borderId="16" xfId="0" applyFont="1" applyFill="1" applyBorder="1" applyAlignment="1">
      <alignment wrapText="1"/>
    </xf>
    <xf numFmtId="0" fontId="6" fillId="8" borderId="17" xfId="0" applyFont="1" applyFill="1" applyBorder="1" applyAlignment="1">
      <alignment wrapText="1"/>
    </xf>
    <xf numFmtId="0" fontId="6" fillId="8" borderId="18" xfId="0" applyFont="1" applyFill="1" applyBorder="1" applyAlignment="1">
      <alignment wrapText="1"/>
    </xf>
    <xf numFmtId="0" fontId="5" fillId="8" borderId="24" xfId="0" applyFont="1" applyFill="1" applyBorder="1" applyAlignment="1">
      <alignment wrapText="1"/>
    </xf>
    <xf numFmtId="0" fontId="6" fillId="8" borderId="21" xfId="0" applyFont="1" applyFill="1" applyBorder="1" applyAlignment="1">
      <alignment wrapText="1"/>
    </xf>
    <xf numFmtId="0" fontId="13" fillId="0" borderId="19" xfId="0" applyFont="1" applyBorder="1"/>
    <xf numFmtId="0" fontId="0" fillId="2" borderId="16" xfId="0" applyFont="1" applyFill="1" applyBorder="1"/>
    <xf numFmtId="0" fontId="0" fillId="2" borderId="24" xfId="0" applyFont="1" applyFill="1" applyBorder="1"/>
    <xf numFmtId="0" fontId="0" fillId="4" borderId="24" xfId="0" applyFont="1" applyFill="1" applyBorder="1"/>
    <xf numFmtId="0" fontId="0" fillId="0" borderId="16" xfId="0" applyFont="1" applyFill="1" applyBorder="1"/>
    <xf numFmtId="0" fontId="0" fillId="0" borderId="24" xfId="0" applyFont="1" applyFill="1" applyBorder="1"/>
    <xf numFmtId="0" fontId="19" fillId="0" borderId="16" xfId="0" applyFont="1" applyFill="1" applyBorder="1"/>
    <xf numFmtId="0" fontId="19" fillId="0" borderId="17" xfId="0" applyFont="1" applyFill="1" applyBorder="1"/>
    <xf numFmtId="0" fontId="19" fillId="0" borderId="21" xfId="0" applyFont="1" applyFill="1" applyBorder="1"/>
    <xf numFmtId="0" fontId="8" fillId="4" borderId="31" xfId="0" applyFont="1" applyFill="1" applyBorder="1" applyAlignment="1">
      <alignment horizontal="right"/>
    </xf>
    <xf numFmtId="0" fontId="0" fillId="4" borderId="28" xfId="0" applyFont="1" applyFill="1" applyBorder="1"/>
    <xf numFmtId="0" fontId="0" fillId="4" borderId="27" xfId="0" applyFont="1" applyFill="1" applyBorder="1"/>
    <xf numFmtId="0" fontId="8" fillId="4" borderId="33" xfId="0" applyFont="1" applyFill="1" applyBorder="1"/>
    <xf numFmtId="0" fontId="6" fillId="0" borderId="52" xfId="0" applyFont="1" applyFill="1" applyBorder="1" applyAlignment="1">
      <alignment horizontal="left"/>
    </xf>
    <xf numFmtId="0" fontId="8" fillId="0" borderId="14" xfId="0" applyFont="1" applyFill="1" applyBorder="1" applyAlignment="1">
      <alignment horizontal="right"/>
    </xf>
    <xf numFmtId="0" fontId="8" fillId="0" borderId="53" xfId="0" applyFont="1" applyFill="1" applyBorder="1" applyAlignment="1">
      <alignment horizontal="right"/>
    </xf>
    <xf numFmtId="0" fontId="0" fillId="0" borderId="23" xfId="0" applyFont="1" applyFill="1" applyBorder="1"/>
    <xf numFmtId="0" fontId="18" fillId="8" borderId="4" xfId="0" applyFont="1" applyFill="1" applyBorder="1" applyAlignment="1">
      <alignment wrapText="1"/>
    </xf>
    <xf numFmtId="0" fontId="5" fillId="8" borderId="5" xfId="0" applyFont="1" applyFill="1" applyBorder="1" applyAlignment="1">
      <alignment horizontal="center" wrapText="1"/>
    </xf>
    <xf numFmtId="0" fontId="6" fillId="8" borderId="54" xfId="0" applyFont="1" applyFill="1" applyBorder="1" applyAlignment="1">
      <alignment wrapText="1"/>
    </xf>
    <xf numFmtId="0" fontId="11" fillId="8" borderId="11" xfId="0" applyFont="1" applyFill="1" applyBorder="1" applyAlignment="1">
      <alignment wrapText="1"/>
    </xf>
    <xf numFmtId="0" fontId="6" fillId="8" borderId="8" xfId="0" applyFont="1" applyFill="1" applyBorder="1" applyAlignment="1">
      <alignment wrapText="1"/>
    </xf>
    <xf numFmtId="0" fontId="6" fillId="8" borderId="12" xfId="0" applyFont="1" applyFill="1" applyBorder="1" applyAlignment="1">
      <alignment wrapText="1"/>
    </xf>
    <xf numFmtId="0" fontId="5" fillId="8" borderId="12" xfId="0" applyFont="1" applyFill="1" applyBorder="1" applyAlignment="1">
      <alignment wrapText="1"/>
    </xf>
    <xf numFmtId="0" fontId="0" fillId="4" borderId="21" xfId="0" applyFont="1" applyFill="1" applyBorder="1"/>
    <xf numFmtId="0" fontId="6" fillId="0" borderId="0" xfId="0" applyFont="1" applyFill="1" applyBorder="1" applyAlignment="1">
      <alignment horizontal="left"/>
    </xf>
    <xf numFmtId="0" fontId="4" fillId="9" borderId="0" xfId="0" applyFont="1" applyFill="1"/>
    <xf numFmtId="0" fontId="5" fillId="9" borderId="0" xfId="0" applyFont="1" applyFill="1"/>
    <xf numFmtId="0" fontId="0" fillId="9" borderId="0" xfId="0" applyFill="1"/>
    <xf numFmtId="0" fontId="4" fillId="0" borderId="0" xfId="0" applyFont="1"/>
    <xf numFmtId="0" fontId="6" fillId="9" borderId="47" xfId="0" applyFont="1" applyFill="1" applyBorder="1" applyAlignment="1">
      <alignment horizontal="centerContinuous" wrapText="1"/>
    </xf>
    <xf numFmtId="0" fontId="6" fillId="9" borderId="37" xfId="0" applyFont="1" applyFill="1" applyBorder="1" applyAlignment="1">
      <alignment horizontal="centerContinuous" wrapText="1"/>
    </xf>
    <xf numFmtId="0" fontId="6" fillId="9" borderId="50" xfId="0" applyFont="1" applyFill="1" applyBorder="1" applyAlignment="1">
      <alignment horizontal="centerContinuous" wrapText="1"/>
    </xf>
    <xf numFmtId="0" fontId="6" fillId="9" borderId="48" xfId="0" applyFont="1" applyFill="1" applyBorder="1" applyAlignment="1">
      <alignment wrapText="1"/>
    </xf>
    <xf numFmtId="0" fontId="6" fillId="9" borderId="42" xfId="0" applyFont="1" applyFill="1" applyBorder="1" applyAlignment="1">
      <alignment wrapText="1"/>
    </xf>
    <xf numFmtId="0" fontId="6" fillId="9" borderId="41" xfId="0" applyFont="1" applyFill="1" applyBorder="1" applyAlignment="1">
      <alignment wrapText="1"/>
    </xf>
    <xf numFmtId="0" fontId="5" fillId="9" borderId="24" xfId="0" applyFont="1" applyFill="1" applyBorder="1" applyAlignment="1">
      <alignment wrapText="1"/>
    </xf>
    <xf numFmtId="0" fontId="5" fillId="9" borderId="55" xfId="0" applyFont="1" applyFill="1" applyBorder="1" applyAlignment="1">
      <alignment wrapText="1"/>
    </xf>
    <xf numFmtId="0" fontId="6" fillId="9" borderId="40" xfId="0" applyFont="1" applyFill="1" applyBorder="1" applyAlignment="1">
      <alignment wrapText="1"/>
    </xf>
    <xf numFmtId="0" fontId="6" fillId="9" borderId="43" xfId="0" applyFont="1" applyFill="1" applyBorder="1" applyAlignment="1">
      <alignment wrapText="1"/>
    </xf>
    <xf numFmtId="0" fontId="0" fillId="4" borderId="24" xfId="0" applyFill="1" applyBorder="1"/>
    <xf numFmtId="0" fontId="0" fillId="2" borderId="24" xfId="0" applyFill="1" applyBorder="1"/>
    <xf numFmtId="0" fontId="0" fillId="4" borderId="27" xfId="0" applyFill="1" applyBorder="1"/>
    <xf numFmtId="0" fontId="0" fillId="4" borderId="46" xfId="0" applyFill="1" applyBorder="1"/>
    <xf numFmtId="0" fontId="6" fillId="9" borderId="17" xfId="0" applyFont="1" applyFill="1" applyBorder="1" applyAlignment="1">
      <alignment wrapText="1"/>
    </xf>
    <xf numFmtId="0" fontId="10" fillId="9" borderId="17" xfId="0" applyFont="1" applyFill="1" applyBorder="1" applyAlignment="1">
      <alignment wrapText="1"/>
    </xf>
    <xf numFmtId="0" fontId="5" fillId="9" borderId="19" xfId="0" applyFont="1" applyFill="1" applyBorder="1" applyAlignment="1">
      <alignment wrapText="1"/>
    </xf>
    <xf numFmtId="0" fontId="10" fillId="9" borderId="16" xfId="0" applyFont="1" applyFill="1" applyBorder="1" applyAlignment="1">
      <alignment wrapText="1"/>
    </xf>
    <xf numFmtId="0" fontId="6" fillId="9" borderId="21" xfId="0" applyFont="1" applyFill="1" applyBorder="1" applyAlignment="1">
      <alignment wrapText="1"/>
    </xf>
    <xf numFmtId="0" fontId="13" fillId="0" borderId="15" xfId="0" applyFont="1" applyBorder="1"/>
    <xf numFmtId="0" fontId="0" fillId="2" borderId="42" xfId="0" applyFill="1" applyBorder="1"/>
    <xf numFmtId="0" fontId="0" fillId="4" borderId="51" xfId="0" applyFill="1" applyBorder="1"/>
    <xf numFmtId="0" fontId="20" fillId="5" borderId="0" xfId="0" applyFont="1" applyFill="1"/>
    <xf numFmtId="0" fontId="7" fillId="5" borderId="4" xfId="0" applyFont="1" applyFill="1" applyBorder="1" applyAlignment="1">
      <alignment wrapText="1"/>
    </xf>
    <xf numFmtId="0" fontId="5" fillId="5" borderId="8" xfId="0" applyFont="1" applyFill="1" applyBorder="1" applyAlignment="1">
      <alignment horizontal="center" wrapText="1"/>
    </xf>
    <xf numFmtId="0" fontId="6" fillId="5" borderId="54" xfId="0" applyFont="1" applyFill="1" applyBorder="1" applyAlignment="1">
      <alignment wrapText="1"/>
    </xf>
    <xf numFmtId="0" fontId="6" fillId="5" borderId="7" xfId="0" applyFont="1" applyFill="1" applyBorder="1" applyAlignment="1">
      <alignment wrapText="1"/>
    </xf>
    <xf numFmtId="0" fontId="11" fillId="5" borderId="8" xfId="0" applyFont="1" applyFill="1" applyBorder="1" applyAlignment="1">
      <alignment wrapText="1"/>
    </xf>
    <xf numFmtId="0" fontId="11" fillId="5" borderId="12" xfId="0" applyFont="1" applyFill="1" applyBorder="1" applyAlignment="1">
      <alignment wrapText="1"/>
    </xf>
    <xf numFmtId="0" fontId="0" fillId="2" borderId="59" xfId="0" applyFill="1" applyBorder="1"/>
    <xf numFmtId="0" fontId="0" fillId="2" borderId="60" xfId="0" applyFill="1" applyBorder="1"/>
    <xf numFmtId="0" fontId="0" fillId="2" borderId="61" xfId="0" applyFill="1" applyBorder="1"/>
    <xf numFmtId="0" fontId="7" fillId="10" borderId="4" xfId="0" applyFont="1" applyFill="1" applyBorder="1" applyAlignment="1">
      <alignment wrapText="1"/>
    </xf>
    <xf numFmtId="0" fontId="5" fillId="10" borderId="8" xfId="0" applyFont="1" applyFill="1" applyBorder="1" applyAlignment="1">
      <alignment horizontal="center" wrapText="1"/>
    </xf>
    <xf numFmtId="0" fontId="0" fillId="10" borderId="8" xfId="0" applyFont="1" applyFill="1" applyBorder="1" applyAlignment="1">
      <alignment horizontal="center" wrapText="1"/>
    </xf>
    <xf numFmtId="0" fontId="0" fillId="10" borderId="12" xfId="0" applyFont="1" applyFill="1" applyBorder="1" applyAlignment="1">
      <alignment horizontal="center" wrapText="1"/>
    </xf>
    <xf numFmtId="0" fontId="21" fillId="0" borderId="13" xfId="0" applyFont="1" applyBorder="1" applyAlignment="1">
      <alignment vertical="center" wrapText="1"/>
    </xf>
    <xf numFmtId="0" fontId="13" fillId="4" borderId="17" xfId="0" applyFont="1" applyFill="1" applyBorder="1"/>
    <xf numFmtId="0" fontId="13" fillId="4" borderId="21" xfId="0" applyFont="1" applyFill="1" applyBorder="1"/>
    <xf numFmtId="0" fontId="21" fillId="0" borderId="13" xfId="0" quotePrefix="1" applyFont="1" applyBorder="1" applyAlignment="1">
      <alignment vertical="center" wrapText="1"/>
    </xf>
    <xf numFmtId="0" fontId="13" fillId="2" borderId="21" xfId="0" applyFont="1" applyFill="1" applyBorder="1"/>
    <xf numFmtId="0" fontId="21" fillId="0" borderId="13" xfId="0" applyFont="1" applyFill="1" applyBorder="1" applyAlignment="1">
      <alignment vertical="center" wrapText="1"/>
    </xf>
    <xf numFmtId="0" fontId="21" fillId="4" borderId="62" xfId="0" applyFont="1" applyFill="1" applyBorder="1" applyAlignment="1">
      <alignment vertical="center" wrapText="1"/>
    </xf>
    <xf numFmtId="0" fontId="8" fillId="4" borderId="29" xfId="0" applyFont="1" applyFill="1" applyBorder="1" applyAlignment="1">
      <alignment horizontal="right"/>
    </xf>
    <xf numFmtId="0" fontId="8" fillId="2" borderId="29" xfId="0" applyFont="1" applyFill="1" applyBorder="1" applyAlignment="1">
      <alignment horizontal="right"/>
    </xf>
    <xf numFmtId="0" fontId="22" fillId="0" borderId="0" xfId="0" applyFont="1"/>
    <xf numFmtId="0" fontId="3" fillId="0" borderId="3" xfId="0" applyFont="1" applyBorder="1"/>
    <xf numFmtId="0" fontId="6" fillId="3" borderId="17" xfId="0" applyFont="1" applyFill="1" applyBorder="1" applyAlignment="1">
      <alignment horizontal="left" wrapText="1"/>
    </xf>
    <xf numFmtId="0" fontId="23" fillId="0" borderId="0" xfId="1"/>
    <xf numFmtId="0" fontId="6" fillId="2" borderId="60" xfId="0" applyFont="1" applyFill="1" applyBorder="1" applyAlignment="1">
      <alignment vertical="center" wrapText="1"/>
    </xf>
    <xf numFmtId="0" fontId="6" fillId="2" borderId="14" xfId="0" applyFont="1" applyFill="1" applyBorder="1" applyAlignment="1">
      <alignment vertical="center" wrapText="1"/>
    </xf>
    <xf numFmtId="0" fontId="6" fillId="2" borderId="63" xfId="0" applyFont="1" applyFill="1" applyBorder="1" applyAlignment="1">
      <alignment vertic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49" fontId="6" fillId="2" borderId="14" xfId="0" applyNumberFormat="1" applyFont="1" applyFill="1" applyBorder="1" applyAlignment="1">
      <alignment vertical="center" wrapText="1"/>
    </xf>
    <xf numFmtId="0" fontId="13" fillId="2" borderId="17" xfId="0" applyFont="1" applyFill="1" applyBorder="1" applyAlignment="1">
      <alignment vertical="center"/>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1" fillId="4" borderId="19" xfId="0" applyFont="1" applyFill="1" applyBorder="1"/>
    <xf numFmtId="0" fontId="28" fillId="0" borderId="24" xfId="0" applyFont="1" applyBorder="1"/>
    <xf numFmtId="0" fontId="24" fillId="2" borderId="16" xfId="0" applyFont="1" applyFill="1" applyBorder="1"/>
    <xf numFmtId="0" fontId="24" fillId="2" borderId="17" xfId="0" applyFont="1" applyFill="1" applyBorder="1"/>
    <xf numFmtId="0" fontId="24" fillId="2" borderId="18" xfId="0" applyFont="1" applyFill="1" applyBorder="1"/>
    <xf numFmtId="0" fontId="24" fillId="2" borderId="20" xfId="0" applyFont="1" applyFill="1" applyBorder="1"/>
    <xf numFmtId="0" fontId="24" fillId="2" borderId="21" xfId="0" applyFont="1" applyFill="1" applyBorder="1"/>
    <xf numFmtId="0" fontId="24" fillId="0" borderId="0" xfId="0" applyFont="1" applyAlignment="1">
      <alignment wrapText="1"/>
    </xf>
    <xf numFmtId="0" fontId="24" fillId="0" borderId="0" xfId="0" applyFont="1"/>
    <xf numFmtId="0" fontId="22" fillId="0" borderId="24" xfId="0" applyFont="1" applyBorder="1"/>
    <xf numFmtId="0" fontId="1" fillId="4" borderId="28" xfId="0" applyFont="1" applyFill="1" applyBorder="1"/>
    <xf numFmtId="0" fontId="1" fillId="4" borderId="29" xfId="0" applyFont="1" applyFill="1" applyBorder="1"/>
    <xf numFmtId="0" fontId="1" fillId="4" borderId="30" xfId="0" applyFont="1" applyFill="1" applyBorder="1"/>
    <xf numFmtId="0" fontId="1" fillId="4" borderId="31" xfId="0" applyFont="1" applyFill="1" applyBorder="1"/>
    <xf numFmtId="3" fontId="0" fillId="2" borderId="16" xfId="0" applyNumberFormat="1" applyFill="1" applyBorder="1"/>
    <xf numFmtId="3" fontId="0" fillId="2" borderId="17" xfId="0" applyNumberFormat="1" applyFill="1" applyBorder="1"/>
    <xf numFmtId="3" fontId="0" fillId="2" borderId="18" xfId="0" applyNumberFormat="1" applyFill="1" applyBorder="1"/>
    <xf numFmtId="3" fontId="1" fillId="4" borderId="19" xfId="0" applyNumberFormat="1" applyFont="1" applyFill="1" applyBorder="1"/>
    <xf numFmtId="3" fontId="0" fillId="0" borderId="16" xfId="0" applyNumberFormat="1" applyFill="1" applyBorder="1"/>
    <xf numFmtId="3" fontId="0" fillId="0" borderId="17" xfId="0" applyNumberFormat="1" applyFill="1" applyBorder="1"/>
    <xf numFmtId="3" fontId="0" fillId="0" borderId="18" xfId="0" applyNumberFormat="1" applyFill="1" applyBorder="1"/>
    <xf numFmtId="3" fontId="1" fillId="4" borderId="28" xfId="0" applyNumberFormat="1" applyFont="1" applyFill="1" applyBorder="1"/>
    <xf numFmtId="3" fontId="1" fillId="4" borderId="29" xfId="0" applyNumberFormat="1" applyFont="1" applyFill="1" applyBorder="1"/>
    <xf numFmtId="3" fontId="1" fillId="4" borderId="31" xfId="0" applyNumberFormat="1" applyFont="1" applyFill="1" applyBorder="1"/>
    <xf numFmtId="0" fontId="1" fillId="4" borderId="29" xfId="0" applyFont="1" applyFill="1" applyBorder="1" applyAlignment="1">
      <alignment horizontal="right"/>
    </xf>
    <xf numFmtId="0" fontId="1" fillId="4" borderId="32" xfId="0" applyFont="1" applyFill="1" applyBorder="1"/>
    <xf numFmtId="0" fontId="1" fillId="4" borderId="33" xfId="0" applyFont="1" applyFill="1" applyBorder="1"/>
    <xf numFmtId="0" fontId="22" fillId="0" borderId="19" xfId="0" applyFont="1" applyBorder="1"/>
    <xf numFmtId="0" fontId="1" fillId="4" borderId="27" xfId="0" applyFont="1" applyFill="1" applyBorder="1"/>
    <xf numFmtId="0" fontId="1" fillId="4" borderId="24" xfId="0" applyFont="1" applyFill="1" applyBorder="1"/>
    <xf numFmtId="0" fontId="1" fillId="4" borderId="46" xfId="0" applyFont="1" applyFill="1" applyBorder="1"/>
    <xf numFmtId="0" fontId="1" fillId="4" borderId="51" xfId="0" applyFont="1" applyFill="1" applyBorder="1"/>
    <xf numFmtId="0" fontId="9" fillId="10" borderId="8" xfId="0" applyFont="1" applyFill="1" applyBorder="1" applyAlignment="1">
      <alignment horizontal="center" wrapText="1"/>
    </xf>
    <xf numFmtId="4" fontId="35" fillId="4" borderId="17" xfId="0" applyNumberFormat="1" applyFont="1" applyFill="1" applyBorder="1"/>
    <xf numFmtId="4" fontId="13" fillId="2" borderId="17" xfId="0" applyNumberFormat="1" applyFont="1" applyFill="1" applyBorder="1"/>
    <xf numFmtId="4" fontId="8" fillId="4" borderId="29" xfId="0" applyNumberFormat="1" applyFont="1" applyFill="1" applyBorder="1" applyAlignment="1">
      <alignment horizontal="right"/>
    </xf>
    <xf numFmtId="4" fontId="13" fillId="2" borderId="0" xfId="0" applyNumberFormat="1" applyFont="1" applyFill="1" applyBorder="1"/>
    <xf numFmtId="4" fontId="0" fillId="0" borderId="0" xfId="0" applyNumberFormat="1"/>
    <xf numFmtId="0" fontId="19" fillId="2" borderId="21" xfId="0" applyFont="1" applyFill="1" applyBorder="1"/>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36" fillId="0" borderId="16" xfId="0" applyFont="1" applyBorder="1"/>
    <xf numFmtId="0" fontId="36" fillId="0" borderId="17" xfId="0" applyFont="1" applyBorder="1"/>
    <xf numFmtId="0" fontId="36" fillId="2" borderId="18" xfId="0" applyFont="1" applyFill="1" applyBorder="1"/>
    <xf numFmtId="0" fontId="36" fillId="4" borderId="57" xfId="0" applyFont="1" applyFill="1" applyBorder="1"/>
    <xf numFmtId="0" fontId="36" fillId="11" borderId="21" xfId="0" applyFont="1" applyFill="1" applyBorder="1"/>
    <xf numFmtId="0" fontId="36" fillId="0" borderId="57" xfId="0" applyFont="1" applyBorder="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0" fillId="4" borderId="16" xfId="0" applyFill="1" applyBorder="1"/>
    <xf numFmtId="0" fontId="0" fillId="4" borderId="17" xfId="0" applyFill="1" applyBorder="1"/>
    <xf numFmtId="0" fontId="0" fillId="4" borderId="18" xfId="0" applyFill="1" applyBorder="1"/>
    <xf numFmtId="0" fontId="0" fillId="4" borderId="20" xfId="0" applyFill="1" applyBorder="1"/>
    <xf numFmtId="0" fontId="0" fillId="4" borderId="21" xfId="0" applyFill="1" applyBorder="1"/>
    <xf numFmtId="0" fontId="13" fillId="0" borderId="24" xfId="0" applyFont="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4"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0" fontId="19" fillId="2" borderId="18" xfId="0" applyFont="1" applyFill="1" applyBorder="1" applyAlignment="1">
      <alignment vertical="center"/>
    </xf>
    <xf numFmtId="0" fontId="0" fillId="4" borderId="40" xfId="0" applyFill="1" applyBorder="1"/>
    <xf numFmtId="0" fontId="0" fillId="4" borderId="41" xfId="0" applyFill="1" applyBorder="1"/>
    <xf numFmtId="0" fontId="0" fillId="4" borderId="43" xfId="0" applyFill="1" applyBorder="1"/>
    <xf numFmtId="0" fontId="0" fillId="4" borderId="45" xfId="0" applyFill="1" applyBorder="1"/>
    <xf numFmtId="0" fontId="0" fillId="4" borderId="20" xfId="0" applyFont="1" applyFill="1" applyBorder="1"/>
    <xf numFmtId="0" fontId="0" fillId="4" borderId="17" xfId="0" applyFont="1" applyFill="1" applyBorder="1"/>
    <xf numFmtId="0" fontId="0" fillId="4" borderId="24" xfId="0" applyFill="1" applyBorder="1" applyAlignment="1">
      <alignment vertical="center"/>
    </xf>
    <xf numFmtId="0" fontId="0" fillId="2" borderId="45" xfId="0" applyFill="1" applyBorder="1" applyAlignment="1">
      <alignment vertical="center"/>
    </xf>
    <xf numFmtId="0" fontId="0" fillId="4" borderId="42" xfId="0" applyFill="1" applyBorder="1"/>
    <xf numFmtId="0" fontId="0" fillId="4" borderId="51" xfId="0" applyFill="1" applyBorder="1" applyAlignment="1">
      <alignment vertical="center"/>
    </xf>
    <xf numFmtId="4" fontId="1" fillId="0" borderId="0" xfId="0" applyNumberFormat="1" applyFont="1"/>
    <xf numFmtId="0" fontId="1" fillId="0" borderId="0" xfId="0" applyFont="1" applyFill="1"/>
    <xf numFmtId="4" fontId="1" fillId="0" borderId="0" xfId="0" applyNumberFormat="1" applyFont="1" applyFill="1"/>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0" fillId="4" borderId="64" xfId="0" applyFill="1" applyBorder="1"/>
    <xf numFmtId="3" fontId="0" fillId="4" borderId="19" xfId="0" applyNumberFormat="1" applyFill="1" applyBorder="1"/>
    <xf numFmtId="3" fontId="0" fillId="4" borderId="28" xfId="0" applyNumberFormat="1" applyFill="1" applyBorder="1"/>
    <xf numFmtId="3" fontId="0" fillId="4" borderId="29" xfId="0" applyNumberFormat="1" applyFill="1" applyBorder="1"/>
    <xf numFmtId="3" fontId="0" fillId="4" borderId="31" xfId="0" applyNumberFormat="1" applyFill="1" applyBorder="1"/>
    <xf numFmtId="0" fontId="22" fillId="0" borderId="16" xfId="0" applyFont="1" applyFill="1" applyBorder="1"/>
    <xf numFmtId="0" fontId="6" fillId="0" borderId="22" xfId="0" applyFont="1" applyBorder="1" applyAlignment="1">
      <alignment vertical="top" wrapText="1"/>
    </xf>
    <xf numFmtId="0" fontId="6" fillId="0" borderId="23" xfId="0" applyFont="1" applyBorder="1" applyAlignment="1">
      <alignment vertical="top" wrapText="1"/>
    </xf>
    <xf numFmtId="0" fontId="19" fillId="2" borderId="16" xfId="0" applyFont="1" applyFill="1" applyBorder="1"/>
    <xf numFmtId="0" fontId="19" fillId="2" borderId="17" xfId="0" applyFont="1" applyFill="1" applyBorder="1"/>
    <xf numFmtId="0" fontId="39" fillId="4" borderId="24" xfId="0" applyFont="1" applyFill="1" applyBorder="1"/>
    <xf numFmtId="0" fontId="19" fillId="2" borderId="45" xfId="0" applyFont="1" applyFill="1" applyBorder="1"/>
    <xf numFmtId="0" fontId="6" fillId="0" borderId="25" xfId="0" applyFont="1" applyBorder="1" applyAlignment="1">
      <alignment vertical="top" wrapText="1"/>
    </xf>
    <xf numFmtId="0" fontId="6" fillId="0" borderId="26" xfId="0" applyFont="1" applyBorder="1" applyAlignment="1">
      <alignment vertical="top" wrapText="1"/>
    </xf>
    <xf numFmtId="3" fontId="19" fillId="2" borderId="16" xfId="0" applyNumberFormat="1" applyFont="1" applyFill="1" applyBorder="1"/>
    <xf numFmtId="3" fontId="19" fillId="2" borderId="17" xfId="0" applyNumberFormat="1" applyFont="1" applyFill="1" applyBorder="1"/>
    <xf numFmtId="3" fontId="0" fillId="4" borderId="51" xfId="0" applyNumberFormat="1" applyFill="1" applyBorder="1"/>
    <xf numFmtId="3" fontId="0" fillId="2" borderId="20" xfId="0" applyNumberFormat="1" applyFill="1" applyBorder="1"/>
    <xf numFmtId="3" fontId="0" fillId="2" borderId="21" xfId="0" applyNumberFormat="1" applyFill="1" applyBorder="1"/>
    <xf numFmtId="3" fontId="0" fillId="4" borderId="32" xfId="0" applyNumberFormat="1" applyFill="1" applyBorder="1"/>
    <xf numFmtId="3" fontId="0" fillId="4" borderId="33" xfId="0" applyNumberFormat="1" applyFill="1" applyBorder="1"/>
    <xf numFmtId="0" fontId="14" fillId="0" borderId="22" xfId="0" applyFont="1" applyBorder="1" applyAlignment="1">
      <alignment vertical="top" wrapText="1"/>
    </xf>
    <xf numFmtId="0" fontId="14" fillId="0" borderId="23" xfId="0" applyFont="1" applyBorder="1" applyAlignment="1">
      <alignment vertical="top" wrapText="1"/>
    </xf>
    <xf numFmtId="0" fontId="0" fillId="2" borderId="17" xfId="0" applyFill="1" applyBorder="1" applyAlignment="1">
      <alignment horizontal="right"/>
    </xf>
    <xf numFmtId="0" fontId="0" fillId="2" borderId="21" xfId="0" applyFill="1" applyBorder="1" applyAlignment="1">
      <alignment horizontal="right"/>
    </xf>
    <xf numFmtId="0" fontId="0" fillId="2" borderId="0" xfId="0" applyFill="1"/>
    <xf numFmtId="0" fontId="14" fillId="0" borderId="25" xfId="0" applyFont="1" applyBorder="1" applyAlignment="1">
      <alignment vertical="top" wrapText="1"/>
    </xf>
    <xf numFmtId="0" fontId="14" fillId="0" borderId="26" xfId="0" applyFont="1" applyBorder="1" applyAlignment="1">
      <alignment vertical="top" wrapText="1"/>
    </xf>
    <xf numFmtId="4" fontId="13" fillId="4" borderId="17" xfId="0" applyNumberFormat="1" applyFont="1" applyFill="1" applyBorder="1"/>
    <xf numFmtId="0" fontId="6" fillId="4" borderId="63" xfId="0" applyFont="1" applyFill="1" applyBorder="1" applyAlignment="1">
      <alignment vertic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3" fontId="13" fillId="2" borderId="17" xfId="0" applyNumberFormat="1" applyFont="1" applyFill="1" applyBorder="1"/>
    <xf numFmtId="0" fontId="21" fillId="0" borderId="65" xfId="0" quotePrefix="1" applyFont="1" applyBorder="1" applyAlignment="1">
      <alignment vertical="center" wrapText="1"/>
    </xf>
    <xf numFmtId="0" fontId="6" fillId="2" borderId="65" xfId="0" applyFont="1" applyFill="1" applyBorder="1" applyAlignment="1">
      <alignment horizontal="center" vertical="center" wrapText="1"/>
    </xf>
    <xf numFmtId="0" fontId="13" fillId="2" borderId="16" xfId="0" applyFont="1" applyFill="1" applyBorder="1"/>
    <xf numFmtId="2" fontId="13" fillId="2" borderId="17" xfId="0" applyNumberFormat="1" applyFont="1" applyFill="1" applyBorder="1"/>
    <xf numFmtId="0" fontId="21" fillId="0" borderId="22" xfId="0" applyFont="1" applyFill="1" applyBorder="1" applyAlignment="1">
      <alignment vertical="center" wrapText="1"/>
    </xf>
    <xf numFmtId="0" fontId="42" fillId="2" borderId="0" xfId="0" applyFont="1" applyFill="1" applyBorder="1" applyAlignment="1">
      <alignment horizontal="center" vertical="center" wrapText="1"/>
    </xf>
    <xf numFmtId="0" fontId="0" fillId="0" borderId="16" xfId="0" applyBorder="1"/>
    <xf numFmtId="0" fontId="44" fillId="0" borderId="16" xfId="0" applyFont="1" applyBorder="1"/>
    <xf numFmtId="0" fontId="0" fillId="0" borderId="17" xfId="0" applyBorder="1"/>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4" fontId="13" fillId="2" borderId="17" xfId="0" applyNumberFormat="1" applyFont="1" applyFill="1" applyBorder="1" applyAlignment="1">
      <alignment vertical="center"/>
    </xf>
    <xf numFmtId="0" fontId="22" fillId="2" borderId="17" xfId="0" applyFont="1" applyFill="1" applyBorder="1"/>
    <xf numFmtId="2" fontId="8" fillId="4" borderId="29" xfId="0" applyNumberFormat="1" applyFont="1" applyFill="1" applyBorder="1" applyAlignment="1">
      <alignment horizontal="right"/>
    </xf>
    <xf numFmtId="0" fontId="0" fillId="0" borderId="21" xfId="0" applyBorder="1"/>
    <xf numFmtId="2" fontId="47" fillId="0" borderId="17" xfId="0" applyNumberFormat="1" applyFont="1" applyBorder="1"/>
    <xf numFmtId="2" fontId="47" fillId="0" borderId="17" xfId="0" applyNumberFormat="1" applyFont="1" applyFill="1" applyBorder="1"/>
    <xf numFmtId="0" fontId="0" fillId="0" borderId="18" xfId="0" applyBorder="1"/>
    <xf numFmtId="0" fontId="0" fillId="0" borderId="20" xfId="0" applyBorder="1"/>
    <xf numFmtId="0" fontId="13" fillId="0" borderId="17" xfId="0" applyFont="1" applyBorder="1"/>
    <xf numFmtId="0" fontId="19" fillId="2" borderId="20" xfId="0" applyFont="1" applyFill="1" applyBorder="1"/>
    <xf numFmtId="0" fontId="0" fillId="4" borderId="29" xfId="0" applyFill="1" applyBorder="1" applyAlignment="1">
      <alignment horizontal="right"/>
    </xf>
    <xf numFmtId="0" fontId="15" fillId="0" borderId="0" xfId="0" applyFont="1"/>
    <xf numFmtId="0" fontId="0" fillId="0" borderId="45" xfId="0" applyBorder="1"/>
    <xf numFmtId="0" fontId="6" fillId="0" borderId="0" xfId="0" applyFont="1" applyAlignment="1">
      <alignment wrapText="1"/>
    </xf>
    <xf numFmtId="0" fontId="0" fillId="0" borderId="0" xfId="0"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24" xfId="0" applyBorder="1"/>
    <xf numFmtId="0" fontId="19" fillId="0" borderId="16" xfId="0" applyFont="1" applyBorder="1"/>
    <xf numFmtId="0" fontId="19" fillId="0" borderId="17" xfId="0" applyFont="1" applyBorder="1"/>
    <xf numFmtId="0" fontId="19" fillId="0" borderId="21" xfId="0" applyFont="1" applyBorder="1"/>
    <xf numFmtId="0" fontId="6" fillId="0" borderId="52" xfId="0" applyFont="1" applyBorder="1" applyAlignment="1">
      <alignment horizontal="left"/>
    </xf>
    <xf numFmtId="0" fontId="8" fillId="0" borderId="14" xfId="0" applyFont="1" applyBorder="1" applyAlignment="1">
      <alignment horizontal="right"/>
    </xf>
    <xf numFmtId="0" fontId="8" fillId="0" borderId="53" xfId="0" applyFont="1" applyBorder="1" applyAlignment="1">
      <alignment horizontal="right"/>
    </xf>
    <xf numFmtId="0" fontId="0" fillId="0" borderId="23" xfId="0" applyBorder="1"/>
    <xf numFmtId="0" fontId="6" fillId="0" borderId="0" xfId="0" applyFont="1" applyAlignment="1">
      <alignment horizontal="left"/>
    </xf>
    <xf numFmtId="0" fontId="0" fillId="10" borderId="8" xfId="0" applyFill="1" applyBorder="1" applyAlignment="1">
      <alignment horizontal="center" wrapText="1"/>
    </xf>
    <xf numFmtId="0" fontId="0" fillId="10" borderId="12" xfId="0" applyFill="1" applyBorder="1" applyAlignment="1">
      <alignment horizontal="center" wrapText="1"/>
    </xf>
    <xf numFmtId="0" fontId="5" fillId="10" borderId="5" xfId="0" applyFont="1" applyFill="1" applyBorder="1" applyAlignment="1">
      <alignment horizontal="center" wrapText="1"/>
    </xf>
    <xf numFmtId="0" fontId="21" fillId="0" borderId="22" xfId="0" applyFont="1" applyBorder="1" applyAlignment="1">
      <alignment vertical="center" wrapText="1"/>
    </xf>
    <xf numFmtId="0" fontId="13" fillId="4" borderId="16" xfId="0" applyFont="1" applyFill="1" applyBorder="1"/>
    <xf numFmtId="0" fontId="21" fillId="0" borderId="22" xfId="0" quotePrefix="1" applyFont="1" applyBorder="1" applyAlignment="1">
      <alignment vertical="center" wrapText="1"/>
    </xf>
    <xf numFmtId="0" fontId="21" fillId="4" borderId="68" xfId="0" applyFont="1" applyFill="1" applyBorder="1" applyAlignment="1">
      <alignment vertical="center" wrapText="1"/>
    </xf>
    <xf numFmtId="0" fontId="8" fillId="4" borderId="16" xfId="0" applyFont="1" applyFill="1" applyBorder="1" applyAlignment="1">
      <alignment horizontal="right"/>
    </xf>
    <xf numFmtId="0" fontId="8" fillId="4" borderId="17" xfId="0" applyFont="1" applyFill="1" applyBorder="1" applyAlignment="1">
      <alignment horizontal="right"/>
    </xf>
    <xf numFmtId="0" fontId="21" fillId="4" borderId="22" xfId="0" applyFont="1" applyFill="1" applyBorder="1" applyAlignment="1">
      <alignment vertical="center" wrapText="1"/>
    </xf>
    <xf numFmtId="0" fontId="8" fillId="4" borderId="0" xfId="0" applyFont="1" applyFill="1" applyBorder="1" applyAlignment="1">
      <alignment horizontal="right"/>
    </xf>
    <xf numFmtId="0" fontId="0" fillId="4" borderId="69" xfId="0" applyFill="1" applyBorder="1"/>
    <xf numFmtId="0" fontId="21" fillId="4" borderId="25" xfId="0" applyFont="1" applyFill="1" applyBorder="1" applyAlignment="1">
      <alignment vertical="center" wrapText="1"/>
    </xf>
    <xf numFmtId="0" fontId="8" fillId="4" borderId="70" xfId="0" applyFont="1" applyFill="1" applyBorder="1" applyAlignment="1">
      <alignment horizontal="right"/>
    </xf>
    <xf numFmtId="0" fontId="0" fillId="4" borderId="71" xfId="0" applyFill="1" applyBorder="1"/>
    <xf numFmtId="0" fontId="0" fillId="12" borderId="65" xfId="0" applyFill="1" applyBorder="1"/>
    <xf numFmtId="0" fontId="0" fillId="0" borderId="0" xfId="0" applyAlignment="1">
      <alignment horizontal="left" wrapText="1"/>
    </xf>
    <xf numFmtId="0" fontId="0" fillId="0" borderId="0" xfId="0" applyAlignment="1">
      <alignment horizontal="center" vertical="center"/>
    </xf>
    <xf numFmtId="0" fontId="48" fillId="0" borderId="0" xfId="0" applyFont="1" applyAlignment="1">
      <alignment horizontal="center" vertical="center"/>
    </xf>
    <xf numFmtId="0" fontId="0" fillId="2" borderId="0" xfId="0" applyFill="1" applyBorder="1"/>
    <xf numFmtId="0" fontId="6" fillId="9" borderId="18" xfId="0" applyFont="1" applyFill="1" applyBorder="1" applyAlignment="1">
      <alignment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2" borderId="72" xfId="0" applyFill="1" applyBorder="1"/>
    <xf numFmtId="0" fontId="0" fillId="2" borderId="0" xfId="0" applyFill="1" applyBorder="1" applyAlignment="1">
      <alignment horizontal="center" vertical="center"/>
    </xf>
    <xf numFmtId="0" fontId="0" fillId="2" borderId="0" xfId="0" applyFill="1" applyAlignment="1"/>
    <xf numFmtId="0" fontId="48" fillId="2" borderId="0" xfId="0" applyFont="1" applyFill="1" applyAlignment="1">
      <alignment horizontal="center" vertical="center"/>
    </xf>
    <xf numFmtId="0" fontId="0" fillId="0" borderId="0" xfId="0" applyAlignment="1">
      <alignment horizontal="left"/>
    </xf>
    <xf numFmtId="0" fontId="1" fillId="0" borderId="0" xfId="0" applyFont="1"/>
    <xf numFmtId="4" fontId="48" fillId="0" borderId="0" xfId="0" applyNumberFormat="1" applyFont="1"/>
    <xf numFmtId="0" fontId="11" fillId="0" borderId="22" xfId="0" applyFont="1" applyBorder="1" applyAlignment="1">
      <alignment vertical="top"/>
    </xf>
    <xf numFmtId="0" fontId="11" fillId="0" borderId="23" xfId="0" applyFont="1" applyBorder="1" applyAlignment="1">
      <alignment vertical="top"/>
    </xf>
    <xf numFmtId="0" fontId="11" fillId="0" borderId="25" xfId="0" applyFont="1" applyBorder="1" applyAlignment="1">
      <alignment vertical="top"/>
    </xf>
    <xf numFmtId="0" fontId="11" fillId="0" borderId="26" xfId="0" applyFont="1" applyBorder="1" applyAlignment="1">
      <alignment vertical="top"/>
    </xf>
    <xf numFmtId="0" fontId="14" fillId="0" borderId="22" xfId="0" applyFont="1" applyBorder="1" applyAlignment="1">
      <alignment vertical="top"/>
    </xf>
    <xf numFmtId="0" fontId="14" fillId="0" borderId="23" xfId="0" applyFont="1" applyBorder="1" applyAlignment="1">
      <alignment vertical="top"/>
    </xf>
    <xf numFmtId="0" fontId="14" fillId="0" borderId="25" xfId="0" applyFont="1" applyBorder="1" applyAlignment="1">
      <alignment vertical="top"/>
    </xf>
    <xf numFmtId="0" fontId="14" fillId="0" borderId="26" xfId="0" applyFont="1" applyBorder="1" applyAlignment="1">
      <alignment vertical="top"/>
    </xf>
    <xf numFmtId="0" fontId="6" fillId="0" borderId="22" xfId="0" applyFont="1" applyBorder="1" applyAlignment="1">
      <alignment vertical="top"/>
    </xf>
    <xf numFmtId="0" fontId="6" fillId="0" borderId="23" xfId="0" applyFont="1" applyBorder="1" applyAlignment="1">
      <alignment vertical="top"/>
    </xf>
    <xf numFmtId="0" fontId="6" fillId="0" borderId="25" xfId="0" applyFont="1" applyBorder="1" applyAlignment="1">
      <alignment vertical="top"/>
    </xf>
    <xf numFmtId="0" fontId="6" fillId="0" borderId="26" xfId="0" applyFont="1" applyBorder="1" applyAlignment="1">
      <alignment vertical="top"/>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21" fillId="4" borderId="62" xfId="0" applyFont="1" applyFill="1" applyBorder="1" applyAlignment="1">
      <alignment vertical="top" wrapText="1"/>
    </xf>
    <xf numFmtId="0" fontId="8" fillId="4" borderId="29" xfId="0" applyFont="1" applyFill="1" applyBorder="1" applyAlignment="1">
      <alignment horizontal="right" vertical="top"/>
    </xf>
    <xf numFmtId="4" fontId="8" fillId="4" borderId="29" xfId="0" applyNumberFormat="1" applyFont="1" applyFill="1" applyBorder="1" applyAlignment="1">
      <alignment horizontal="right" vertical="top"/>
    </xf>
    <xf numFmtId="0" fontId="0" fillId="4" borderId="33" xfId="0" applyFill="1" applyBorder="1" applyAlignment="1">
      <alignment vertical="top"/>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6" fillId="2" borderId="60" xfId="0" applyFont="1" applyFill="1" applyBorder="1" applyAlignment="1">
      <alignment vertical="center" wrapText="1"/>
    </xf>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6" fillId="2" borderId="60" xfId="0" applyFont="1" applyFill="1" applyBorder="1" applyAlignment="1">
      <alignment vertic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13" fillId="2" borderId="18" xfId="0" applyFont="1" applyFill="1" applyBorder="1"/>
    <xf numFmtId="0" fontId="13" fillId="2" borderId="20" xfId="0" applyFont="1" applyFill="1" applyBorder="1"/>
    <xf numFmtId="0" fontId="0" fillId="4" borderId="0" xfId="0" applyFill="1" applyBorder="1"/>
    <xf numFmtId="0" fontId="5" fillId="8" borderId="5"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3" borderId="14" xfId="0" applyFont="1" applyFill="1" applyBorder="1" applyAlignment="1">
      <alignment horizontal="center" wrapText="1"/>
    </xf>
    <xf numFmtId="0" fontId="6" fillId="2" borderId="60" xfId="0" applyFont="1" applyFill="1" applyBorder="1" applyAlignment="1">
      <alignment vertic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0" fillId="0" borderId="0" xfId="0" applyAlignment="1">
      <alignment horizontal="left" vertical="center" wrapText="1"/>
    </xf>
    <xf numFmtId="0" fontId="5" fillId="3"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5" fillId="8" borderId="5" xfId="0" applyFont="1" applyFill="1" applyBorder="1" applyAlignment="1">
      <alignment horizontal="center" wrapText="1"/>
    </xf>
    <xf numFmtId="0" fontId="6" fillId="2" borderId="60" xfId="0" applyFont="1" applyFill="1" applyBorder="1" applyAlignment="1">
      <alignment vertical="center" wrapText="1"/>
    </xf>
    <xf numFmtId="0" fontId="48" fillId="0" borderId="0" xfId="0" applyFont="1" applyAlignment="1">
      <alignment vertical="center" wrapText="1"/>
    </xf>
    <xf numFmtId="0" fontId="5" fillId="3" borderId="5" xfId="0" applyFont="1" applyFill="1" applyBorder="1" applyAlignment="1">
      <alignment horizontal="center" wrapText="1"/>
    </xf>
    <xf numFmtId="0" fontId="5" fillId="3" borderId="14" xfId="0" applyFont="1" applyFill="1" applyBorder="1" applyAlignment="1">
      <alignment horizontal="center" wrapText="1"/>
    </xf>
    <xf numFmtId="0" fontId="6" fillId="3" borderId="6" xfId="0" applyFont="1" applyFill="1" applyBorder="1" applyAlignment="1">
      <alignment horizontal="center" wrapText="1"/>
    </xf>
    <xf numFmtId="0" fontId="6" fillId="3" borderId="15" xfId="0" applyFont="1" applyFill="1" applyBorder="1" applyAlignment="1">
      <alignment horizontal="center"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5" fillId="5" borderId="35" xfId="0" applyFont="1" applyFill="1" applyBorder="1" applyAlignment="1">
      <alignment horizontal="center" wrapText="1"/>
    </xf>
    <xf numFmtId="0" fontId="5" fillId="5" borderId="39" xfId="0" applyFont="1" applyFill="1" applyBorder="1" applyAlignment="1">
      <alignment horizont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6" fillId="6" borderId="44" xfId="0" applyFont="1" applyFill="1" applyBorder="1" applyAlignment="1">
      <alignment horizontal="left" wrapText="1"/>
    </xf>
    <xf numFmtId="0" fontId="16" fillId="6" borderId="0" xfId="0" applyFont="1" applyFill="1" applyAlignment="1">
      <alignment horizontal="left" wrapText="1"/>
    </xf>
    <xf numFmtId="0" fontId="5" fillId="6" borderId="5" xfId="0" applyFont="1" applyFill="1" applyBorder="1" applyAlignment="1">
      <alignment horizontal="center" wrapText="1"/>
    </xf>
    <xf numFmtId="0" fontId="5" fillId="6" borderId="14" xfId="0" applyFont="1" applyFill="1" applyBorder="1" applyAlignment="1">
      <alignment horizontal="center" wrapText="1"/>
    </xf>
    <xf numFmtId="0" fontId="6" fillId="6" borderId="6" xfId="0" applyFont="1" applyFill="1" applyBorder="1" applyAlignment="1">
      <alignment horizontal="center" wrapText="1"/>
    </xf>
    <xf numFmtId="0" fontId="6" fillId="6" borderId="15" xfId="0" applyFont="1" applyFill="1" applyBorder="1" applyAlignment="1">
      <alignment horizontal="center" wrapText="1"/>
    </xf>
    <xf numFmtId="0" fontId="5" fillId="6" borderId="35" xfId="0" applyFont="1" applyFill="1" applyBorder="1" applyAlignment="1">
      <alignment horizontal="center" wrapText="1"/>
    </xf>
    <xf numFmtId="0" fontId="5" fillId="6" borderId="39" xfId="0" applyFont="1" applyFill="1" applyBorder="1" applyAlignment="1">
      <alignment horizontal="center" wrapText="1"/>
    </xf>
    <xf numFmtId="0" fontId="7" fillId="5" borderId="34" xfId="0" applyFont="1" applyFill="1" applyBorder="1" applyAlignment="1">
      <alignment horizontal="left"/>
    </xf>
    <xf numFmtId="0" fontId="7" fillId="5" borderId="13" xfId="0" applyFont="1" applyFill="1" applyBorder="1" applyAlignment="1">
      <alignment horizontal="left"/>
    </xf>
    <xf numFmtId="0" fontId="5" fillId="5" borderId="5" xfId="0" applyFont="1" applyFill="1" applyBorder="1" applyAlignment="1">
      <alignment horizontal="center" wrapText="1"/>
    </xf>
    <xf numFmtId="0" fontId="5" fillId="5" borderId="14" xfId="0" applyFont="1" applyFill="1" applyBorder="1" applyAlignment="1">
      <alignment horizontal="center" wrapText="1"/>
    </xf>
    <xf numFmtId="0" fontId="6" fillId="5" borderId="6" xfId="0" applyFont="1" applyFill="1" applyBorder="1" applyAlignment="1">
      <alignment horizontal="center" wrapText="1"/>
    </xf>
    <xf numFmtId="0" fontId="6" fillId="5" borderId="15" xfId="0" applyFont="1" applyFill="1" applyBorder="1" applyAlignment="1">
      <alignment horizontal="center" wrapText="1"/>
    </xf>
    <xf numFmtId="0" fontId="7" fillId="7" borderId="34" xfId="0" applyFont="1" applyFill="1" applyBorder="1" applyAlignment="1">
      <alignment horizontal="left" wrapText="1"/>
    </xf>
    <xf numFmtId="0" fontId="7" fillId="7" borderId="13" xfId="0" applyFont="1" applyFill="1" applyBorder="1" applyAlignment="1">
      <alignment horizontal="left" wrapText="1"/>
    </xf>
    <xf numFmtId="0" fontId="5" fillId="7" borderId="5" xfId="0" applyFont="1" applyFill="1" applyBorder="1" applyAlignment="1">
      <alignment horizontal="center" wrapText="1"/>
    </xf>
    <xf numFmtId="0" fontId="5" fillId="7" borderId="14" xfId="0" applyFont="1" applyFill="1" applyBorder="1" applyAlignment="1">
      <alignment horizontal="center" wrapText="1"/>
    </xf>
    <xf numFmtId="0" fontId="6" fillId="7" borderId="6" xfId="0" applyFont="1" applyFill="1" applyBorder="1" applyAlignment="1">
      <alignment horizontal="center" wrapText="1"/>
    </xf>
    <xf numFmtId="0" fontId="6" fillId="7" borderId="15" xfId="0" applyFont="1" applyFill="1" applyBorder="1" applyAlignment="1">
      <alignment horizontal="center" wrapText="1"/>
    </xf>
    <xf numFmtId="0" fontId="10" fillId="7" borderId="35" xfId="0" applyFont="1" applyFill="1" applyBorder="1" applyAlignment="1">
      <alignment horizontal="center" wrapText="1"/>
    </xf>
    <xf numFmtId="0" fontId="10" fillId="7" borderId="39" xfId="0" applyFont="1" applyFill="1" applyBorder="1" applyAlignment="1">
      <alignment horizontal="center" wrapText="1"/>
    </xf>
    <xf numFmtId="0" fontId="6" fillId="7" borderId="35" xfId="0" applyFont="1" applyFill="1" applyBorder="1" applyAlignment="1">
      <alignment horizontal="center" wrapText="1"/>
    </xf>
    <xf numFmtId="0" fontId="6" fillId="7" borderId="39" xfId="0" applyFont="1" applyFill="1" applyBorder="1" applyAlignment="1">
      <alignment horizontal="center" wrapText="1"/>
    </xf>
    <xf numFmtId="0" fontId="18" fillId="7" borderId="34" xfId="0" applyFont="1" applyFill="1" applyBorder="1" applyAlignment="1">
      <alignment horizontal="left" wrapText="1"/>
    </xf>
    <xf numFmtId="0" fontId="7" fillId="8" borderId="4" xfId="0" applyFont="1" applyFill="1" applyBorder="1" applyAlignment="1">
      <alignment horizontal="left" wrapText="1"/>
    </xf>
    <xf numFmtId="0" fontId="7" fillId="8" borderId="22" xfId="0" applyFont="1" applyFill="1" applyBorder="1" applyAlignment="1">
      <alignment horizontal="left" wrapText="1"/>
    </xf>
    <xf numFmtId="0" fontId="5" fillId="8" borderId="5" xfId="0" applyFont="1" applyFill="1" applyBorder="1" applyAlignment="1">
      <alignment horizontal="center" wrapText="1"/>
    </xf>
    <xf numFmtId="0" fontId="5" fillId="8" borderId="14" xfId="0" applyFont="1" applyFill="1" applyBorder="1" applyAlignment="1">
      <alignment horizontal="center" wrapText="1"/>
    </xf>
    <xf numFmtId="0" fontId="6" fillId="8" borderId="49" xfId="0" applyFont="1" applyFill="1" applyBorder="1" applyAlignment="1">
      <alignment horizontal="center" wrapText="1"/>
    </xf>
    <xf numFmtId="0" fontId="6" fillId="8" borderId="51" xfId="0" applyFont="1" applyFill="1" applyBorder="1" applyAlignment="1">
      <alignment horizontal="center" wrapText="1"/>
    </xf>
    <xf numFmtId="0" fontId="7" fillId="9" borderId="34" xfId="0" applyFont="1" applyFill="1" applyBorder="1" applyAlignment="1">
      <alignment horizontal="left" wrapText="1"/>
    </xf>
    <xf numFmtId="0" fontId="7" fillId="9" borderId="13" xfId="0" applyFont="1" applyFill="1" applyBorder="1" applyAlignment="1">
      <alignment horizontal="left" wrapText="1"/>
    </xf>
    <xf numFmtId="0" fontId="5" fillId="9" borderId="5" xfId="0" applyFont="1" applyFill="1" applyBorder="1" applyAlignment="1">
      <alignment horizontal="center" wrapText="1"/>
    </xf>
    <xf numFmtId="0" fontId="5" fillId="9" borderId="14" xfId="0" applyFont="1" applyFill="1" applyBorder="1" applyAlignment="1">
      <alignment horizontal="center" wrapText="1"/>
    </xf>
    <xf numFmtId="0" fontId="6" fillId="9" borderId="6" xfId="0" applyFont="1" applyFill="1" applyBorder="1" applyAlignment="1">
      <alignment wrapText="1"/>
    </xf>
    <xf numFmtId="0" fontId="6" fillId="9" borderId="15" xfId="0" applyFont="1" applyFill="1" applyBorder="1" applyAlignment="1">
      <alignment wrapText="1"/>
    </xf>
    <xf numFmtId="0" fontId="11" fillId="0" borderId="58" xfId="0" applyFont="1" applyBorder="1" applyAlignment="1">
      <alignment horizontal="left" vertical="top" wrapText="1"/>
    </xf>
    <xf numFmtId="0" fontId="11" fillId="0" borderId="59" xfId="0" applyFont="1" applyBorder="1" applyAlignment="1">
      <alignment horizontal="left" vertical="top" wrapText="1"/>
    </xf>
    <xf numFmtId="0" fontId="6" fillId="2" borderId="60"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63" xfId="0" applyFont="1" applyFill="1" applyBorder="1" applyAlignment="1">
      <alignment horizontal="left" vertical="top" wrapText="1"/>
    </xf>
    <xf numFmtId="0" fontId="6" fillId="9" borderId="36" xfId="0" applyFont="1" applyFill="1" applyBorder="1" applyAlignment="1">
      <alignment horizontal="center" wrapText="1"/>
    </xf>
    <xf numFmtId="0" fontId="6" fillId="9" borderId="37" xfId="0" applyFont="1" applyFill="1" applyBorder="1" applyAlignment="1">
      <alignment horizontal="center" wrapText="1"/>
    </xf>
    <xf numFmtId="0" fontId="6" fillId="9" borderId="38" xfId="0" applyFont="1" applyFill="1" applyBorder="1" applyAlignment="1">
      <alignment horizontal="center"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7" fillId="9" borderId="56" xfId="0" applyFont="1" applyFill="1" applyBorder="1" applyAlignment="1">
      <alignment horizontal="left"/>
    </xf>
    <xf numFmtId="0" fontId="7" fillId="9" borderId="57" xfId="0" applyFont="1" applyFill="1" applyBorder="1" applyAlignment="1">
      <alignment horizontal="left"/>
    </xf>
    <xf numFmtId="0" fontId="5" fillId="9" borderId="8" xfId="0" applyFont="1" applyFill="1" applyBorder="1" applyAlignment="1">
      <alignment horizontal="center" wrapText="1"/>
    </xf>
    <xf numFmtId="0" fontId="5" fillId="9" borderId="17" xfId="0" applyFont="1" applyFill="1" applyBorder="1" applyAlignment="1">
      <alignment horizontal="center" wrapText="1"/>
    </xf>
    <xf numFmtId="0" fontId="6" fillId="9" borderId="8" xfId="0" applyFont="1" applyFill="1" applyBorder="1" applyAlignment="1">
      <alignment horizontal="center" wrapText="1"/>
    </xf>
    <xf numFmtId="0" fontId="6" fillId="9" borderId="17" xfId="0" applyFont="1" applyFill="1" applyBorder="1" applyAlignment="1">
      <alignment horizontal="center" wrapText="1"/>
    </xf>
    <xf numFmtId="0" fontId="6" fillId="9" borderId="10" xfId="0" applyFont="1" applyFill="1" applyBorder="1" applyAlignment="1">
      <alignment horizontal="center" wrapText="1"/>
    </xf>
    <xf numFmtId="0" fontId="6" fillId="9" borderId="7" xfId="0" applyFont="1" applyFill="1" applyBorder="1" applyAlignment="1">
      <alignment horizontal="center" wrapText="1"/>
    </xf>
    <xf numFmtId="0" fontId="6" fillId="9" borderId="12" xfId="0" applyFont="1" applyFill="1" applyBorder="1" applyAlignment="1">
      <alignment horizontal="center" wrapText="1"/>
    </xf>
    <xf numFmtId="0" fontId="6" fillId="2" borderId="6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22"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16" fillId="6" borderId="0" xfId="0" applyFont="1" applyFill="1" applyBorder="1" applyAlignment="1">
      <alignment horizontal="left" wrapText="1"/>
    </xf>
    <xf numFmtId="0" fontId="51" fillId="0" borderId="0" xfId="0" applyFont="1" applyAlignment="1">
      <alignment horizontal="left" wrapText="1"/>
    </xf>
    <xf numFmtId="0" fontId="48" fillId="0" borderId="0" xfId="0" applyFont="1" applyAlignment="1">
      <alignment horizontal="left"/>
    </xf>
    <xf numFmtId="0" fontId="5" fillId="8" borderId="5"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2" fillId="0" borderId="58" xfId="0" applyFont="1" applyBorder="1" applyAlignment="1">
      <alignment horizontal="left" vertical="top" wrapText="1"/>
    </xf>
    <xf numFmtId="0" fontId="29" fillId="0" borderId="22" xfId="0" applyFont="1" applyBorder="1" applyAlignment="1">
      <alignment horizontal="left" vertical="top" wrapText="1"/>
    </xf>
    <xf numFmtId="0" fontId="11" fillId="2" borderId="60" xfId="0" applyFont="1" applyFill="1" applyBorder="1" applyAlignment="1">
      <alignment horizontal="left" vertical="top" wrapText="1"/>
    </xf>
    <xf numFmtId="0" fontId="12" fillId="0" borderId="22" xfId="0" applyFont="1" applyBorder="1" applyAlignment="1">
      <alignment horizontal="left" vertical="top" wrapText="1"/>
    </xf>
    <xf numFmtId="0" fontId="30" fillId="0" borderId="22" xfId="0" applyFont="1" applyFill="1" applyBorder="1" applyAlignment="1">
      <alignment horizontal="left" vertical="top" wrapText="1"/>
    </xf>
    <xf numFmtId="0" fontId="0" fillId="0" borderId="23" xfId="0" applyFill="1" applyBorder="1" applyAlignment="1">
      <alignment vertical="top" wrapText="1"/>
    </xf>
    <xf numFmtId="0" fontId="34" fillId="0" borderId="22" xfId="0" applyFont="1" applyFill="1" applyBorder="1" applyAlignment="1">
      <alignment horizontal="left" vertical="top" wrapText="1"/>
    </xf>
    <xf numFmtId="0" fontId="34" fillId="0" borderId="25" xfId="0" applyFont="1" applyFill="1" applyBorder="1" applyAlignment="1">
      <alignment horizontal="left" vertical="top" wrapText="1"/>
    </xf>
    <xf numFmtId="0" fontId="0" fillId="0" borderId="26" xfId="0" applyFill="1" applyBorder="1" applyAlignment="1">
      <alignment vertical="top" wrapText="1"/>
    </xf>
    <xf numFmtId="0" fontId="12" fillId="0" borderId="22"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2" fontId="6" fillId="2" borderId="60" xfId="0" applyNumberFormat="1" applyFont="1" applyFill="1" applyBorder="1" applyAlignment="1">
      <alignment vertical="center" wrapText="1"/>
    </xf>
    <xf numFmtId="2" fontId="0" fillId="0" borderId="14" xfId="0" applyNumberFormat="1" applyBorder="1" applyAlignment="1">
      <alignment vertical="center"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6" fillId="2" borderId="60"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8" fillId="0" borderId="0" xfId="0" applyFont="1" applyAlignment="1">
      <alignment horizontal="left" wrapText="1"/>
    </xf>
    <xf numFmtId="0" fontId="43" fillId="0" borderId="22" xfId="0" applyFont="1" applyBorder="1" applyAlignment="1">
      <alignment horizontal="left" vertical="top" wrapText="1"/>
    </xf>
    <xf numFmtId="0" fontId="43" fillId="0" borderId="23" xfId="0" applyFont="1" applyBorder="1" applyAlignment="1">
      <alignment horizontal="left" vertical="top" wrapText="1"/>
    </xf>
    <xf numFmtId="0" fontId="43" fillId="0" borderId="25" xfId="0" applyFont="1" applyBorder="1" applyAlignment="1">
      <alignment horizontal="left" vertical="top" wrapText="1"/>
    </xf>
    <xf numFmtId="0" fontId="43" fillId="0" borderId="26" xfId="0" applyFont="1" applyBorder="1" applyAlignment="1">
      <alignment horizontal="left" vertical="top" wrapText="1"/>
    </xf>
    <xf numFmtId="0" fontId="8" fillId="4" borderId="60" xfId="0" applyFont="1" applyFill="1" applyBorder="1" applyAlignment="1">
      <alignment horizontal="right" vertical="top"/>
    </xf>
    <xf numFmtId="0" fontId="8" fillId="4" borderId="14" xfId="0" applyFont="1" applyFill="1" applyBorder="1" applyAlignment="1">
      <alignment horizontal="right" vertical="top"/>
    </xf>
    <xf numFmtId="0" fontId="8" fillId="4" borderId="63" xfId="0" applyFont="1" applyFill="1" applyBorder="1" applyAlignment="1">
      <alignment horizontal="right" vertical="top"/>
    </xf>
    <xf numFmtId="4" fontId="8" fillId="4" borderId="60" xfId="0" applyNumberFormat="1" applyFont="1" applyFill="1" applyBorder="1" applyAlignment="1">
      <alignment horizontal="right" vertical="top"/>
    </xf>
    <xf numFmtId="4" fontId="8" fillId="4" borderId="14" xfId="0" applyNumberFormat="1" applyFont="1" applyFill="1" applyBorder="1" applyAlignment="1">
      <alignment horizontal="right" vertical="top"/>
    </xf>
    <xf numFmtId="4" fontId="8" fillId="4" borderId="63" xfId="0" applyNumberFormat="1" applyFont="1" applyFill="1" applyBorder="1" applyAlignment="1">
      <alignment horizontal="right" vertical="top"/>
    </xf>
    <xf numFmtId="0" fontId="0" fillId="4" borderId="61" xfId="0" applyFill="1" applyBorder="1" applyAlignment="1">
      <alignment horizontal="right" vertical="top"/>
    </xf>
    <xf numFmtId="0" fontId="0" fillId="4" borderId="66" xfId="0" applyFill="1" applyBorder="1" applyAlignment="1">
      <alignment horizontal="right" vertical="top"/>
    </xf>
    <xf numFmtId="0" fontId="0" fillId="4" borderId="67" xfId="0" applyFill="1" applyBorder="1" applyAlignment="1">
      <alignment horizontal="right" vertical="top"/>
    </xf>
    <xf numFmtId="0" fontId="21" fillId="4" borderId="13" xfId="0" applyFont="1" applyFill="1" applyBorder="1" applyAlignment="1">
      <alignment horizontal="left" vertical="top" wrapText="1"/>
    </xf>
    <xf numFmtId="0" fontId="21" fillId="4" borderId="62" xfId="0" applyFont="1" applyFill="1" applyBorder="1" applyAlignment="1">
      <alignment horizontal="left" vertical="top" wrapText="1"/>
    </xf>
    <xf numFmtId="0" fontId="6" fillId="2" borderId="60" xfId="0" applyFont="1" applyFill="1" applyBorder="1" applyAlignment="1">
      <alignment vertical="center" wrapText="1"/>
    </xf>
    <xf numFmtId="0" fontId="0" fillId="0" borderId="14" xfId="0" applyBorder="1" applyAlignment="1">
      <alignment vertical="center" wrapText="1"/>
    </xf>
    <xf numFmtId="0" fontId="0" fillId="0" borderId="63" xfId="0" applyBorder="1" applyAlignment="1">
      <alignment vertical="center" wrapText="1"/>
    </xf>
    <xf numFmtId="0" fontId="6" fillId="2" borderId="14" xfId="0" applyFont="1" applyFill="1" applyBorder="1" applyAlignment="1">
      <alignment horizontal="center" vertical="top" wrapText="1"/>
    </xf>
    <xf numFmtId="0" fontId="6" fillId="2" borderId="63" xfId="0" applyFont="1" applyFill="1" applyBorder="1" applyAlignment="1">
      <alignment horizontal="center" vertical="top" wrapText="1"/>
    </xf>
    <xf numFmtId="0" fontId="30" fillId="0" borderId="22" xfId="0" applyFont="1" applyBorder="1" applyAlignment="1">
      <alignment horizontal="left" vertical="center" wrapText="1"/>
    </xf>
    <xf numFmtId="0" fontId="24" fillId="0" borderId="23" xfId="0" applyFont="1" applyBorder="1" applyAlignment="1">
      <alignment vertical="center" wrapText="1"/>
    </xf>
    <xf numFmtId="0" fontId="30" fillId="0" borderId="25" xfId="0" applyFont="1" applyBorder="1" applyAlignment="1">
      <alignment horizontal="left" vertical="center" wrapText="1"/>
    </xf>
    <xf numFmtId="0" fontId="24" fillId="0" borderId="26"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xf>
    <xf numFmtId="0" fontId="6" fillId="9" borderId="9" xfId="0" applyFont="1" applyFill="1" applyBorder="1" applyAlignment="1">
      <alignment horizontal="center" wrapText="1"/>
    </xf>
    <xf numFmtId="0" fontId="0" fillId="0" borderId="0" xfId="0" applyAlignment="1">
      <alignment horizontal="left" vertical="center"/>
    </xf>
    <xf numFmtId="0" fontId="0" fillId="2" borderId="0" xfId="0" applyFill="1" applyAlignment="1">
      <alignment horizontal="left" vertical="center"/>
    </xf>
  </cellXfs>
  <cellStyles count="2">
    <cellStyle name="Normal 2"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dra/AppData/Local/Microsoft/Windows/INetCache/Content.Outlook/G0MKROY6/Kopia%20WSS%202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
      <sheetName val="PK"/>
      <sheetName val="FS"/>
      <sheetName val="INNE"/>
      <sheetName val="Partnerzy II"/>
      <sheetName val="Partnerzy I"/>
      <sheetName val="PO + partnerzy"/>
    </sheetNames>
    <sheetDataSet>
      <sheetData sheetId="0" refreshError="1"/>
      <sheetData sheetId="1" refreshError="1">
        <row r="36">
          <cell r="A36" t="str">
            <v xml:space="preserve"> Komentarz: Zakres inny - publikacja przyczynia się do realizacji 3 priorytetów: Ułatwienie transferu wiedzy i innowacji w rolnictwie i leśnictwie oraz na obszarach wiejskich,
Zwiększenie rentowności gospodarstw i konkurencyjność,
Wspieranie organizacji łańcucha żywnościowego</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topLeftCell="A7" workbookViewId="0">
      <selection activeCell="E17" sqref="E17"/>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529" t="s">
        <v>409</v>
      </c>
    </row>
    <row r="2" spans="1:17" s="2" customFormat="1" ht="15.75" x14ac:dyDescent="0.25"/>
    <row r="3" spans="1:17" s="2" customFormat="1" ht="15.75" x14ac:dyDescent="0.25">
      <c r="A3" s="3" t="s">
        <v>1</v>
      </c>
    </row>
    <row r="4" spans="1:17" s="2" customFormat="1" ht="15.75" x14ac:dyDescent="0.25">
      <c r="A4" s="4" t="s">
        <v>408</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10"/>
      <c r="O9" s="11"/>
      <c r="P9" s="11"/>
    </row>
    <row r="10" spans="1:17" s="11" customFormat="1" ht="18.75" x14ac:dyDescent="0.3">
      <c r="A10" s="12"/>
      <c r="B10" s="530" t="s">
        <v>5</v>
      </c>
      <c r="C10" s="532" t="s">
        <v>6</v>
      </c>
      <c r="D10" s="13"/>
      <c r="E10" s="14"/>
      <c r="F10" s="15" t="s">
        <v>7</v>
      </c>
      <c r="G10" s="16"/>
      <c r="H10" s="17"/>
      <c r="I10" s="18" t="s">
        <v>8</v>
      </c>
      <c r="J10" s="14"/>
      <c r="K10" s="14"/>
      <c r="L10" s="14"/>
      <c r="M10" s="14"/>
      <c r="N10" s="14"/>
      <c r="O10" s="19"/>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89"/>
      <c r="E15" s="391"/>
      <c r="F15" s="391"/>
      <c r="G15" s="418"/>
      <c r="H15" s="36">
        <f t="shared" si="0"/>
        <v>0</v>
      </c>
      <c r="I15" s="419"/>
      <c r="J15" s="391"/>
      <c r="K15" s="391"/>
      <c r="L15" s="391"/>
      <c r="M15" s="391"/>
      <c r="N15" s="391"/>
      <c r="O15" s="415"/>
      <c r="P15" s="11"/>
      <c r="Q15" s="11"/>
    </row>
    <row r="16" spans="1:17" x14ac:dyDescent="0.25">
      <c r="A16" s="534"/>
      <c r="B16" s="535"/>
      <c r="C16" s="32">
        <v>2018</v>
      </c>
      <c r="D16" s="33">
        <f>SUM('dolnośląskie:Jednostka Centralna'!D16)</f>
        <v>798</v>
      </c>
      <c r="E16" s="33">
        <f>SUM('dolnośląskie:Jednostka Centralna'!E16)</f>
        <v>234</v>
      </c>
      <c r="F16" s="33">
        <f>SUM('dolnośląskie:Jednostka Centralna'!F16)</f>
        <v>32</v>
      </c>
      <c r="G16" s="33">
        <f>SUM('dolnośląskie:Jednostka Centralna'!G16)</f>
        <v>256</v>
      </c>
      <c r="H16" s="36">
        <f t="shared" si="0"/>
        <v>1320</v>
      </c>
      <c r="I16" s="33">
        <f>SUM('dolnośląskie:Jednostka Centralna'!I16)</f>
        <v>395</v>
      </c>
      <c r="J16" s="33">
        <f>SUM('dolnośląskie:Jednostka Centralna'!J16)</f>
        <v>119</v>
      </c>
      <c r="K16" s="33">
        <f>SUM('dolnośląskie:Jednostka Centralna'!K16)</f>
        <v>143</v>
      </c>
      <c r="L16" s="33">
        <f>SUM('dolnośląskie:Jednostka Centralna'!L16)</f>
        <v>49</v>
      </c>
      <c r="M16" s="33">
        <f>SUM('dolnośląskie:Jednostka Centralna'!M16)</f>
        <v>10</v>
      </c>
      <c r="N16" s="33">
        <f>SUM('dolnośląskie:Jednostka Centralna'!N16)</f>
        <v>426</v>
      </c>
      <c r="O16" s="415">
        <f>SUM('dolnośląskie:Jednostka Centralna'!O16)</f>
        <v>179</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798</v>
      </c>
      <c r="E19" s="52">
        <f>SUM(E12:E18)</f>
        <v>234</v>
      </c>
      <c r="F19" s="52">
        <f>SUM(F12:F18)</f>
        <v>32</v>
      </c>
      <c r="G19" s="53"/>
      <c r="H19" s="54">
        <f>SUM(D19:F19)</f>
        <v>1064</v>
      </c>
      <c r="I19" s="85">
        <f>SUM(I12:I18)</f>
        <v>395</v>
      </c>
      <c r="J19" s="52"/>
      <c r="K19" s="52">
        <f>SUM(K12:K18)</f>
        <v>143</v>
      </c>
      <c r="L19" s="52">
        <f>SUM(L12:L18)</f>
        <v>49</v>
      </c>
      <c r="M19" s="52">
        <f>SUM(M12:M18)</f>
        <v>10</v>
      </c>
      <c r="N19" s="52">
        <f>SUM(N12:N18)</f>
        <v>426</v>
      </c>
      <c r="O19" s="86">
        <f>SUM(O12:O18)</f>
        <v>179</v>
      </c>
      <c r="P19" s="11"/>
      <c r="Q19" s="11"/>
    </row>
    <row r="20" spans="1:17" ht="15.75" thickBot="1" x14ac:dyDescent="0.3">
      <c r="B20" s="10"/>
      <c r="D20" s="58"/>
      <c r="O20" s="11"/>
      <c r="P20" s="11"/>
    </row>
    <row r="21" spans="1:17" s="11" customFormat="1" ht="18.75" x14ac:dyDescent="0.3">
      <c r="A21" s="12"/>
      <c r="B21" s="59"/>
      <c r="C21" s="532" t="s">
        <v>6</v>
      </c>
      <c r="D21" s="13"/>
      <c r="E21" s="14"/>
      <c r="F21" s="15" t="s">
        <v>7</v>
      </c>
      <c r="G21" s="16"/>
      <c r="H21" s="17"/>
    </row>
    <row r="22" spans="1:17" s="11" customFormat="1" ht="44.25" customHeight="1" x14ac:dyDescent="0.3">
      <c r="A22" s="60" t="s">
        <v>22</v>
      </c>
      <c r="B22" s="519" t="s">
        <v>23</v>
      </c>
      <c r="C22" s="533"/>
      <c r="D22" s="62" t="s">
        <v>10</v>
      </c>
      <c r="E22" s="63" t="s">
        <v>11</v>
      </c>
      <c r="F22" s="63" t="s">
        <v>12</v>
      </c>
      <c r="G22" s="64" t="s">
        <v>13</v>
      </c>
      <c r="H22" s="25" t="s">
        <v>14</v>
      </c>
    </row>
    <row r="23" spans="1:17" ht="15" customHeight="1" x14ac:dyDescent="0.25">
      <c r="A23" s="534"/>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89"/>
      <c r="E26" s="391"/>
      <c r="F26" s="391"/>
      <c r="G26" s="418"/>
      <c r="H26" s="36">
        <f t="shared" si="1"/>
        <v>0</v>
      </c>
    </row>
    <row r="27" spans="1:17" x14ac:dyDescent="0.25">
      <c r="A27" s="534"/>
      <c r="B27" s="535"/>
      <c r="C27" s="32">
        <v>2018</v>
      </c>
      <c r="D27" s="33">
        <f>SUM('dolnośląskie:Jednostka Centralna'!D27)</f>
        <v>103415</v>
      </c>
      <c r="E27" s="33">
        <f>SUM('dolnośląskie:Jednostka Centralna'!E27)</f>
        <v>32186</v>
      </c>
      <c r="F27" s="33">
        <f>SUM('dolnośląskie:Jednostka Centralna'!F27)</f>
        <v>7460</v>
      </c>
      <c r="G27" s="33">
        <f>SUM('dolnośląskie:Jednostka Centralna'!G27)</f>
        <v>3598839</v>
      </c>
      <c r="H27" s="36">
        <f t="shared" si="1"/>
        <v>3741900</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103415</v>
      </c>
      <c r="E30" s="52">
        <f>SUM(E23:E29)</f>
        <v>32186</v>
      </c>
      <c r="F30" s="52">
        <f>SUM(F23:F29)</f>
        <v>7460</v>
      </c>
      <c r="G30" s="52">
        <f>SUM(G23:G29)</f>
        <v>3598839</v>
      </c>
      <c r="H30" s="54">
        <f t="shared" ref="H30" si="2">SUM(D30:F30)</f>
        <v>143061</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420"/>
      <c r="E39" s="419"/>
      <c r="F39" s="391"/>
      <c r="G39" s="391"/>
      <c r="H39" s="391"/>
      <c r="I39" s="391"/>
      <c r="J39" s="391"/>
      <c r="K39" s="415"/>
    </row>
    <row r="40" spans="1:13" x14ac:dyDescent="0.25">
      <c r="A40" s="540"/>
      <c r="B40" s="541"/>
      <c r="C40" s="32">
        <v>2018</v>
      </c>
      <c r="D40" s="33">
        <f>SUM('dolnośląskie:Jednostka Centralna'!D40)</f>
        <v>268</v>
      </c>
      <c r="E40" s="419">
        <f>SUM('dolnośląskie:Jednostka Centralna'!E40)</f>
        <v>137</v>
      </c>
      <c r="F40" s="33">
        <f>SUM('dolnośląskie:Jednostka Centralna'!F40)</f>
        <v>10</v>
      </c>
      <c r="G40" s="33">
        <f>SUM('dolnośląskie:Jednostka Centralna'!G40)</f>
        <v>35</v>
      </c>
      <c r="H40" s="33">
        <f>SUM('dolnośląskie:Jednostka Centralna'!H40)</f>
        <v>0</v>
      </c>
      <c r="I40" s="33">
        <f>SUM('dolnośląskie:Jednostka Centralna'!I40)</f>
        <v>4</v>
      </c>
      <c r="J40" s="33">
        <f>SUM('dolnośląskie:Jednostka Centralna'!J40)</f>
        <v>60</v>
      </c>
      <c r="K40" s="415">
        <f>SUM('dolnośląskie:Jednostka Centralna'!K40)</f>
        <v>23</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422">
        <f>SUM(D36:D42)</f>
        <v>268</v>
      </c>
      <c r="E43" s="85">
        <f t="shared" ref="E43:J43" si="3">SUM(E36:E42)</f>
        <v>137</v>
      </c>
      <c r="F43" s="52">
        <f t="shared" si="3"/>
        <v>10</v>
      </c>
      <c r="G43" s="52">
        <f t="shared" si="3"/>
        <v>35</v>
      </c>
      <c r="H43" s="52">
        <f t="shared" si="3"/>
        <v>0</v>
      </c>
      <c r="I43" s="52">
        <f t="shared" si="3"/>
        <v>4</v>
      </c>
      <c r="J43" s="52">
        <f t="shared" si="3"/>
        <v>60</v>
      </c>
      <c r="K43" s="86">
        <f>SUM(K36:K42)</f>
        <v>23</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423"/>
      <c r="M46" s="423"/>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4" s="11" customFormat="1" ht="117" customHeight="1" x14ac:dyDescent="0.25">
      <c r="A49" s="545"/>
      <c r="B49" s="547"/>
      <c r="C49" s="549"/>
      <c r="D49" s="551"/>
      <c r="E49" s="96" t="s">
        <v>15</v>
      </c>
      <c r="F49" s="97" t="s">
        <v>16</v>
      </c>
      <c r="G49" s="97" t="s">
        <v>17</v>
      </c>
      <c r="H49" s="98" t="s">
        <v>18</v>
      </c>
      <c r="I49" s="98" t="s">
        <v>29</v>
      </c>
      <c r="J49" s="99" t="s">
        <v>20</v>
      </c>
      <c r="K49" s="100" t="s">
        <v>21</v>
      </c>
    </row>
    <row r="50" spans="1:14" ht="15" customHeight="1" x14ac:dyDescent="0.25">
      <c r="A50" s="534"/>
      <c r="B50" s="535"/>
      <c r="C50" s="32">
        <v>2014</v>
      </c>
      <c r="D50" s="101"/>
      <c r="E50" s="37"/>
      <c r="F50" s="34"/>
      <c r="G50" s="34"/>
      <c r="H50" s="34"/>
      <c r="I50" s="34"/>
      <c r="J50" s="34"/>
      <c r="K50" s="38"/>
    </row>
    <row r="51" spans="1:14" x14ac:dyDescent="0.25">
      <c r="A51" s="534"/>
      <c r="B51" s="535"/>
      <c r="C51" s="32">
        <v>2015</v>
      </c>
      <c r="D51" s="101"/>
      <c r="E51" s="37"/>
      <c r="F51" s="34"/>
      <c r="G51" s="34"/>
      <c r="H51" s="34"/>
      <c r="I51" s="34"/>
      <c r="J51" s="34"/>
      <c r="K51" s="38"/>
    </row>
    <row r="52" spans="1:14" x14ac:dyDescent="0.25">
      <c r="A52" s="534"/>
      <c r="B52" s="535"/>
      <c r="C52" s="32">
        <v>2016</v>
      </c>
      <c r="D52" s="101"/>
      <c r="E52" s="37"/>
      <c r="F52" s="34"/>
      <c r="G52" s="34"/>
      <c r="H52" s="34"/>
      <c r="I52" s="34"/>
      <c r="J52" s="34"/>
      <c r="K52" s="38"/>
    </row>
    <row r="53" spans="1:14" x14ac:dyDescent="0.25">
      <c r="A53" s="534"/>
      <c r="B53" s="535"/>
      <c r="C53" s="32">
        <v>2017</v>
      </c>
      <c r="D53" s="424"/>
      <c r="E53" s="419"/>
      <c r="F53" s="391"/>
      <c r="G53" s="391"/>
      <c r="H53" s="391"/>
      <c r="I53" s="391"/>
      <c r="J53" s="391"/>
      <c r="K53" s="415"/>
    </row>
    <row r="54" spans="1:14" x14ac:dyDescent="0.25">
      <c r="A54" s="534"/>
      <c r="B54" s="535"/>
      <c r="C54" s="32">
        <v>2018</v>
      </c>
      <c r="D54" s="33">
        <f>SUM('dolnośląskie:Jednostka Centralna'!D54)</f>
        <v>164</v>
      </c>
      <c r="E54" s="419">
        <f>SUM('dolnośląskie:Jednostka Centralna'!E54)</f>
        <v>8</v>
      </c>
      <c r="F54" s="33">
        <f>SUM('dolnośląskie:Jednostka Centralna'!F54)</f>
        <v>7</v>
      </c>
      <c r="G54" s="33">
        <f>SUM('dolnośląskie:Jednostka Centralna'!G54)</f>
        <v>6</v>
      </c>
      <c r="H54" s="33">
        <f>SUM('dolnośląskie:Jednostka Centralna'!H54)</f>
        <v>1</v>
      </c>
      <c r="I54" s="33">
        <f>SUM('dolnośląskie:Jednostka Centralna'!I54)</f>
        <v>2</v>
      </c>
      <c r="J54" s="33">
        <f>SUM('dolnośląskie:Jednostka Centralna'!J54)</f>
        <v>43</v>
      </c>
      <c r="K54" s="415">
        <f>SUM('dolnośląskie:Jednostka Centralna'!K54)</f>
        <v>97</v>
      </c>
    </row>
    <row r="55" spans="1:14" x14ac:dyDescent="0.25">
      <c r="A55" s="534"/>
      <c r="B55" s="535"/>
      <c r="C55" s="32">
        <v>2019</v>
      </c>
      <c r="D55" s="101"/>
      <c r="E55" s="37"/>
      <c r="F55" s="34"/>
      <c r="G55" s="34"/>
      <c r="H55" s="34"/>
      <c r="I55" s="34"/>
      <c r="J55" s="34"/>
      <c r="K55" s="38"/>
    </row>
    <row r="56" spans="1:14" x14ac:dyDescent="0.25">
      <c r="A56" s="534"/>
      <c r="B56" s="535"/>
      <c r="C56" s="32">
        <v>2020</v>
      </c>
      <c r="D56" s="101"/>
      <c r="E56" s="37"/>
      <c r="F56" s="34"/>
      <c r="G56" s="34"/>
      <c r="H56" s="34"/>
      <c r="I56" s="34"/>
      <c r="J56" s="34"/>
      <c r="K56" s="38"/>
    </row>
    <row r="57" spans="1:14" ht="94.9" customHeight="1" thickBot="1" x14ac:dyDescent="0.3">
      <c r="A57" s="536"/>
      <c r="B57" s="537"/>
      <c r="C57" s="50" t="s">
        <v>14</v>
      </c>
      <c r="D57" s="103">
        <f t="shared" ref="D57:I57" si="4">SUM(D50:D56)</f>
        <v>164</v>
      </c>
      <c r="E57" s="85">
        <f t="shared" si="4"/>
        <v>8</v>
      </c>
      <c r="F57" s="52">
        <f t="shared" si="4"/>
        <v>7</v>
      </c>
      <c r="G57" s="52">
        <f t="shared" si="4"/>
        <v>6</v>
      </c>
      <c r="H57" s="52">
        <f t="shared" si="4"/>
        <v>1</v>
      </c>
      <c r="I57" s="52">
        <f t="shared" si="4"/>
        <v>2</v>
      </c>
      <c r="J57" s="52">
        <f>SUM(J50:J56)</f>
        <v>43</v>
      </c>
      <c r="K57" s="86">
        <f>SUM(K50:K56)</f>
        <v>97</v>
      </c>
    </row>
    <row r="58" spans="1:14" x14ac:dyDescent="0.25">
      <c r="B58" s="10"/>
    </row>
    <row r="59" spans="1:14" ht="21" x14ac:dyDescent="0.35">
      <c r="A59" s="104" t="s">
        <v>36</v>
      </c>
      <c r="B59" s="105"/>
      <c r="C59" s="104"/>
      <c r="D59" s="106"/>
      <c r="E59" s="106"/>
      <c r="F59" s="106"/>
      <c r="G59" s="106"/>
      <c r="H59" s="106"/>
      <c r="I59" s="106"/>
      <c r="J59" s="106"/>
      <c r="K59" s="106"/>
      <c r="L59" s="106"/>
      <c r="M59" s="11"/>
    </row>
    <row r="60" spans="1:14" ht="15" customHeight="1" thickBot="1" x14ac:dyDescent="0.4">
      <c r="A60" s="192"/>
      <c r="B60" s="92"/>
      <c r="M60" s="11"/>
    </row>
    <row r="61" spans="1:14" s="11" customFormat="1" x14ac:dyDescent="0.25">
      <c r="A61" s="558" t="s">
        <v>37</v>
      </c>
      <c r="B61" s="560" t="s">
        <v>38</v>
      </c>
      <c r="C61" s="562" t="s">
        <v>6</v>
      </c>
      <c r="D61" s="109"/>
      <c r="E61" s="110"/>
      <c r="F61" s="111" t="s">
        <v>39</v>
      </c>
      <c r="G61" s="112"/>
      <c r="H61" s="112"/>
      <c r="I61" s="112"/>
      <c r="J61" s="112"/>
      <c r="K61" s="112"/>
      <c r="L61" s="113"/>
      <c r="N61" s="425"/>
    </row>
    <row r="62" spans="1:14"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4" x14ac:dyDescent="0.25">
      <c r="A63" s="534"/>
      <c r="B63" s="535"/>
      <c r="C63" s="32">
        <v>2014</v>
      </c>
      <c r="D63" s="33"/>
      <c r="E63" s="34"/>
      <c r="F63" s="37"/>
      <c r="G63" s="34"/>
      <c r="H63" s="34"/>
      <c r="I63" s="34"/>
      <c r="J63" s="34"/>
      <c r="K63" s="34"/>
      <c r="L63" s="38"/>
      <c r="M63" s="11"/>
    </row>
    <row r="64" spans="1:14" x14ac:dyDescent="0.25">
      <c r="A64" s="534"/>
      <c r="B64" s="535"/>
      <c r="C64" s="32">
        <v>2015</v>
      </c>
      <c r="D64" s="33"/>
      <c r="E64" s="34"/>
      <c r="F64" s="37"/>
      <c r="G64" s="34"/>
      <c r="H64" s="34"/>
      <c r="I64" s="34"/>
      <c r="J64" s="34"/>
      <c r="K64" s="34"/>
      <c r="L64" s="38"/>
      <c r="M64" s="11"/>
    </row>
    <row r="65" spans="1:13" x14ac:dyDescent="0.25">
      <c r="A65" s="534"/>
      <c r="B65" s="535"/>
      <c r="C65" s="32">
        <v>2016</v>
      </c>
      <c r="D65" s="33"/>
      <c r="E65" s="34"/>
      <c r="F65" s="37"/>
      <c r="G65" s="34"/>
      <c r="H65" s="34"/>
      <c r="I65" s="34"/>
      <c r="J65" s="34"/>
      <c r="K65" s="34"/>
      <c r="L65" s="38"/>
      <c r="M65" s="11"/>
    </row>
    <row r="66" spans="1:13" x14ac:dyDescent="0.25">
      <c r="A66" s="534"/>
      <c r="B66" s="535"/>
      <c r="C66" s="32">
        <v>2017</v>
      </c>
      <c r="D66" s="389"/>
      <c r="E66" s="391"/>
      <c r="F66" s="419"/>
      <c r="G66" s="391"/>
      <c r="H66" s="391"/>
      <c r="I66" s="391"/>
      <c r="J66" s="391"/>
      <c r="K66" s="391"/>
      <c r="L66" s="415"/>
      <c r="M66" s="11"/>
    </row>
    <row r="67" spans="1:13" x14ac:dyDescent="0.25">
      <c r="A67" s="534"/>
      <c r="B67" s="535"/>
      <c r="C67" s="32">
        <v>2018</v>
      </c>
      <c r="D67" s="33">
        <f>SUM('dolnośląskie:Jednostka Centralna'!D67)</f>
        <v>22</v>
      </c>
      <c r="E67" s="391">
        <f>SUM('dolnośląskie:Jednostka Centralna'!E67)</f>
        <v>143</v>
      </c>
      <c r="F67" s="419">
        <f>SUM('dolnośląskie:Jednostka Centralna'!F67)</f>
        <v>3</v>
      </c>
      <c r="G67" s="33">
        <f>SUM('dolnośląskie:Jednostka Centralna'!G67)</f>
        <v>0</v>
      </c>
      <c r="H67" s="33">
        <f>SUM('dolnośląskie:Jednostka Centralna'!H67)</f>
        <v>1</v>
      </c>
      <c r="I67" s="33">
        <f>SUM('dolnośląskie:Jednostka Centralna'!I67)</f>
        <v>0</v>
      </c>
      <c r="J67" s="33">
        <f>SUM('dolnośląskie:Jednostka Centralna'!J67)</f>
        <v>0</v>
      </c>
      <c r="K67" s="33">
        <f>SUM('dolnośląskie:Jednostka Centralna'!K67)</f>
        <v>1</v>
      </c>
      <c r="L67" s="415">
        <v>17</v>
      </c>
      <c r="M67" s="11"/>
    </row>
    <row r="68" spans="1:13" x14ac:dyDescent="0.25">
      <c r="A68" s="534"/>
      <c r="B68" s="535"/>
      <c r="C68" s="32">
        <v>2019</v>
      </c>
      <c r="D68" s="33"/>
      <c r="E68" s="34"/>
      <c r="F68" s="37"/>
      <c r="G68" s="34"/>
      <c r="H68" s="34"/>
      <c r="I68" s="34"/>
      <c r="J68" s="34"/>
      <c r="K68" s="34"/>
      <c r="L68" s="38"/>
      <c r="M68" s="11"/>
    </row>
    <row r="69" spans="1:13" x14ac:dyDescent="0.25">
      <c r="A69" s="534"/>
      <c r="B69" s="535"/>
      <c r="C69" s="32">
        <v>2020</v>
      </c>
      <c r="D69" s="33"/>
      <c r="E69" s="34"/>
      <c r="F69" s="37"/>
      <c r="G69" s="34"/>
      <c r="H69" s="34"/>
      <c r="I69" s="34"/>
      <c r="J69" s="34"/>
      <c r="K69" s="34"/>
      <c r="L69" s="38"/>
      <c r="M69" s="11"/>
    </row>
    <row r="70" spans="1:13" ht="33" customHeight="1" thickBot="1" x14ac:dyDescent="0.3">
      <c r="A70" s="536"/>
      <c r="B70" s="537"/>
      <c r="C70" s="50" t="s">
        <v>14</v>
      </c>
      <c r="D70" s="51">
        <f t="shared" ref="D70:K70" si="5">SUM(D63:D69)</f>
        <v>22</v>
      </c>
      <c r="E70" s="52">
        <f t="shared" si="5"/>
        <v>143</v>
      </c>
      <c r="F70" s="85">
        <f t="shared" si="5"/>
        <v>3</v>
      </c>
      <c r="G70" s="52">
        <f t="shared" si="5"/>
        <v>0</v>
      </c>
      <c r="H70" s="52">
        <f t="shared" si="5"/>
        <v>1</v>
      </c>
      <c r="I70" s="52">
        <f t="shared" si="5"/>
        <v>0</v>
      </c>
      <c r="J70" s="52">
        <f t="shared" si="5"/>
        <v>0</v>
      </c>
      <c r="K70" s="52">
        <f t="shared" si="5"/>
        <v>1</v>
      </c>
      <c r="L70" s="86">
        <f>SUM(L63:L69)</f>
        <v>17</v>
      </c>
      <c r="M70" s="11"/>
    </row>
    <row r="71" spans="1:13" ht="15.75" thickBot="1" x14ac:dyDescent="0.3">
      <c r="A71" s="523"/>
      <c r="B71" s="427"/>
      <c r="D71" s="58"/>
    </row>
    <row r="72" spans="1:13" s="11" customFormat="1" ht="18.95" customHeight="1" x14ac:dyDescent="0.25">
      <c r="A72" s="558" t="s">
        <v>42</v>
      </c>
      <c r="B72" s="560" t="s">
        <v>43</v>
      </c>
      <c r="C72" s="562" t="s">
        <v>6</v>
      </c>
      <c r="D72" s="564" t="s">
        <v>44</v>
      </c>
      <c r="E72" s="111" t="s">
        <v>45</v>
      </c>
      <c r="F72" s="112"/>
      <c r="G72" s="112"/>
      <c r="H72" s="112"/>
      <c r="I72" s="112"/>
      <c r="J72" s="112"/>
      <c r="K72" s="113"/>
      <c r="L72"/>
      <c r="M72" s="425"/>
    </row>
    <row r="73" spans="1:13"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3" ht="15" customHeight="1" x14ac:dyDescent="0.25">
      <c r="A74" s="534"/>
      <c r="B74" s="535"/>
      <c r="C74" s="32">
        <v>2014</v>
      </c>
      <c r="D74" s="34"/>
      <c r="E74" s="37"/>
      <c r="F74" s="34"/>
      <c r="G74" s="34"/>
      <c r="H74" s="34"/>
      <c r="I74" s="34"/>
      <c r="J74" s="34"/>
      <c r="K74" s="38"/>
    </row>
    <row r="75" spans="1:13" x14ac:dyDescent="0.25">
      <c r="A75" s="534"/>
      <c r="B75" s="535"/>
      <c r="C75" s="32">
        <v>2015</v>
      </c>
      <c r="D75" s="34"/>
      <c r="E75" s="37"/>
      <c r="F75" s="34"/>
      <c r="G75" s="34"/>
      <c r="H75" s="34"/>
      <c r="I75" s="34"/>
      <c r="J75" s="34"/>
      <c r="K75" s="38"/>
    </row>
    <row r="76" spans="1:13" x14ac:dyDescent="0.25">
      <c r="A76" s="534"/>
      <c r="B76" s="535"/>
      <c r="C76" s="32">
        <v>2016</v>
      </c>
      <c r="D76" s="34"/>
      <c r="E76" s="37"/>
      <c r="F76" s="34"/>
      <c r="G76" s="34"/>
      <c r="H76" s="34"/>
      <c r="I76" s="34"/>
      <c r="J76" s="34"/>
      <c r="K76" s="38"/>
    </row>
    <row r="77" spans="1:13" x14ac:dyDescent="0.25">
      <c r="A77" s="534"/>
      <c r="B77" s="535"/>
      <c r="C77" s="32">
        <v>2017</v>
      </c>
      <c r="D77" s="391"/>
      <c r="E77" s="419"/>
      <c r="F77" s="391"/>
      <c r="G77" s="391"/>
      <c r="H77" s="391"/>
      <c r="I77" s="391"/>
      <c r="J77" s="391"/>
      <c r="K77" s="415"/>
    </row>
    <row r="78" spans="1:13" x14ac:dyDescent="0.25">
      <c r="A78" s="534"/>
      <c r="B78" s="535"/>
      <c r="C78" s="32">
        <v>2018</v>
      </c>
      <c r="D78" s="33">
        <f>SUM('dolnośląskie:Jednostka Centralna'!D78)</f>
        <v>197</v>
      </c>
      <c r="E78" s="419">
        <f>SUM('dolnośląskie:Jednostka Centralna'!E78)</f>
        <v>108</v>
      </c>
      <c r="F78" s="33">
        <f>SUM('dolnośląskie:Jednostka Centralna'!F78)</f>
        <v>0</v>
      </c>
      <c r="G78" s="33">
        <f>SUM('dolnośląskie:Jednostka Centralna'!G78)</f>
        <v>1</v>
      </c>
      <c r="H78" s="33">
        <f>SUM('dolnośląskie:Jednostka Centralna'!H78)</f>
        <v>0</v>
      </c>
      <c r="I78" s="33">
        <f>SUM('dolnośląskie:Jednostka Centralna'!I78)</f>
        <v>0</v>
      </c>
      <c r="J78" s="33">
        <f>SUM('dolnośląskie:Jednostka Centralna'!J78)</f>
        <v>3</v>
      </c>
      <c r="K78" s="415">
        <f>SUM('dolnośląskie:Jednostka Centralna'!K78)</f>
        <v>85</v>
      </c>
    </row>
    <row r="79" spans="1:13" x14ac:dyDescent="0.25">
      <c r="A79" s="534"/>
      <c r="B79" s="535"/>
      <c r="C79" s="32">
        <v>2019</v>
      </c>
      <c r="D79" s="34"/>
      <c r="E79" s="37"/>
      <c r="F79" s="34"/>
      <c r="G79" s="34"/>
      <c r="H79" s="34"/>
      <c r="I79" s="34"/>
      <c r="J79" s="34"/>
      <c r="K79" s="38"/>
    </row>
    <row r="80" spans="1:13" x14ac:dyDescent="0.25">
      <c r="A80" s="534"/>
      <c r="B80" s="535"/>
      <c r="C80" s="32">
        <v>2020</v>
      </c>
      <c r="D80" s="34"/>
      <c r="E80" s="37"/>
      <c r="F80" s="34"/>
      <c r="G80" s="34"/>
      <c r="H80" s="34"/>
      <c r="I80" s="34"/>
      <c r="J80" s="34"/>
      <c r="K80" s="38"/>
    </row>
    <row r="81" spans="1:14" ht="42" customHeight="1" thickBot="1" x14ac:dyDescent="0.3">
      <c r="A81" s="536"/>
      <c r="B81" s="537"/>
      <c r="C81" s="50" t="s">
        <v>14</v>
      </c>
      <c r="D81" s="52">
        <f t="shared" ref="D81:J81" si="6">SUM(D74:D80)</f>
        <v>197</v>
      </c>
      <c r="E81" s="85">
        <f t="shared" si="6"/>
        <v>108</v>
      </c>
      <c r="F81" s="52">
        <f t="shared" si="6"/>
        <v>0</v>
      </c>
      <c r="G81" s="52">
        <f t="shared" si="6"/>
        <v>1</v>
      </c>
      <c r="H81" s="52">
        <f t="shared" si="6"/>
        <v>0</v>
      </c>
      <c r="I81" s="52">
        <f t="shared" si="6"/>
        <v>0</v>
      </c>
      <c r="J81" s="52">
        <f t="shared" si="6"/>
        <v>3</v>
      </c>
      <c r="K81" s="86">
        <f>SUM(K74:K80)</f>
        <v>85</v>
      </c>
    </row>
    <row r="82" spans="1:14" ht="15" customHeight="1" thickBot="1" x14ac:dyDescent="0.4">
      <c r="A82" s="192"/>
      <c r="B82" s="92"/>
    </row>
    <row r="83" spans="1:14" ht="24.95" customHeight="1" x14ac:dyDescent="0.25">
      <c r="A83" s="558" t="s">
        <v>46</v>
      </c>
      <c r="B83" s="560" t="s">
        <v>43</v>
      </c>
      <c r="C83" s="562" t="s">
        <v>6</v>
      </c>
      <c r="D83" s="566" t="s">
        <v>47</v>
      </c>
      <c r="E83" s="111" t="s">
        <v>48</v>
      </c>
      <c r="F83" s="112"/>
      <c r="G83" s="112"/>
      <c r="H83" s="112"/>
      <c r="I83" s="112"/>
      <c r="J83" s="112"/>
      <c r="K83" s="113"/>
      <c r="L83" s="11"/>
    </row>
    <row r="84" spans="1:14"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4" s="11" customFormat="1" ht="18" customHeight="1" x14ac:dyDescent="0.25">
      <c r="A85" s="534"/>
      <c r="B85" s="535"/>
      <c r="C85" s="32">
        <v>2014</v>
      </c>
      <c r="D85" s="34"/>
      <c r="E85" s="37"/>
      <c r="F85" s="34"/>
      <c r="G85" s="34"/>
      <c r="H85" s="34"/>
      <c r="I85" s="34"/>
      <c r="J85" s="34"/>
      <c r="K85" s="38"/>
      <c r="L85"/>
    </row>
    <row r="86" spans="1:14" ht="15.95" customHeight="1" x14ac:dyDescent="0.25">
      <c r="A86" s="534"/>
      <c r="B86" s="535"/>
      <c r="C86" s="32">
        <v>2015</v>
      </c>
      <c r="D86" s="34"/>
      <c r="E86" s="37"/>
      <c r="F86" s="34"/>
      <c r="G86" s="34"/>
      <c r="H86" s="34"/>
      <c r="I86" s="34"/>
      <c r="J86" s="34"/>
      <c r="K86" s="38"/>
    </row>
    <row r="87" spans="1:14" x14ac:dyDescent="0.25">
      <c r="A87" s="534"/>
      <c r="B87" s="535"/>
      <c r="C87" s="32">
        <v>2016</v>
      </c>
      <c r="D87" s="34"/>
      <c r="E87" s="37"/>
      <c r="F87" s="34"/>
      <c r="G87" s="34"/>
      <c r="H87" s="34"/>
      <c r="I87" s="34"/>
      <c r="J87" s="34"/>
      <c r="K87" s="38"/>
    </row>
    <row r="88" spans="1:14" x14ac:dyDescent="0.25">
      <c r="A88" s="534"/>
      <c r="B88" s="535"/>
      <c r="C88" s="32">
        <v>2017</v>
      </c>
      <c r="D88" s="391"/>
      <c r="E88" s="419"/>
      <c r="F88" s="391"/>
      <c r="G88" s="391"/>
      <c r="H88" s="391"/>
      <c r="I88" s="391"/>
      <c r="J88" s="391"/>
      <c r="K88" s="415"/>
    </row>
    <row r="89" spans="1:14" x14ac:dyDescent="0.25">
      <c r="A89" s="534"/>
      <c r="B89" s="535"/>
      <c r="C89" s="32">
        <v>2018</v>
      </c>
      <c r="D89" s="391">
        <f>SUM('dolnośląskie:Jednostka Centralna'!D89)</f>
        <v>99</v>
      </c>
      <c r="E89" s="419">
        <f>SUM('dolnośląskie:Jednostka Centralna'!E89)</f>
        <v>93</v>
      </c>
      <c r="F89" s="33">
        <f>SUM('dolnośląskie:Jednostka Centralna'!F89)</f>
        <v>1</v>
      </c>
      <c r="G89" s="33">
        <f>SUM('dolnośląskie:Jednostka Centralna'!G89)</f>
        <v>1</v>
      </c>
      <c r="H89" s="33">
        <f>SUM('dolnośląskie:Jednostka Centralna'!H89)</f>
        <v>0</v>
      </c>
      <c r="I89" s="33">
        <f>SUM('dolnośląskie:Jednostka Centralna'!I89)</f>
        <v>0</v>
      </c>
      <c r="J89" s="33">
        <f>SUM('dolnośląskie:Jednostka Centralna'!J89)</f>
        <v>4</v>
      </c>
      <c r="K89" s="415">
        <f>SUM('dolnośląskie:Jednostka Centralna'!K89)</f>
        <v>0</v>
      </c>
      <c r="L89" s="11"/>
    </row>
    <row r="90" spans="1:14" x14ac:dyDescent="0.25">
      <c r="A90" s="534"/>
      <c r="B90" s="535"/>
      <c r="C90" s="32">
        <v>2019</v>
      </c>
      <c r="D90" s="34"/>
      <c r="E90" s="37"/>
      <c r="F90" s="34"/>
      <c r="G90" s="34"/>
      <c r="H90" s="34"/>
      <c r="I90" s="34"/>
      <c r="J90" s="34"/>
      <c r="K90" s="38"/>
    </row>
    <row r="91" spans="1:14" x14ac:dyDescent="0.25">
      <c r="A91" s="534"/>
      <c r="B91" s="535"/>
      <c r="C91" s="32">
        <v>2020</v>
      </c>
      <c r="D91" s="34"/>
      <c r="E91" s="37"/>
      <c r="F91" s="34"/>
      <c r="G91" s="34"/>
      <c r="H91" s="34"/>
      <c r="I91" s="34"/>
      <c r="J91" s="34"/>
      <c r="K91" s="38"/>
    </row>
    <row r="92" spans="1:14" ht="18.95" customHeight="1" thickBot="1" x14ac:dyDescent="0.3">
      <c r="A92" s="536"/>
      <c r="B92" s="537"/>
      <c r="C92" s="50" t="s">
        <v>14</v>
      </c>
      <c r="D92" s="52">
        <f t="shared" ref="D92:J92" si="7">SUM(D85:D91)</f>
        <v>99</v>
      </c>
      <c r="E92" s="85">
        <f t="shared" si="7"/>
        <v>93</v>
      </c>
      <c r="F92" s="52">
        <f t="shared" si="7"/>
        <v>1</v>
      </c>
      <c r="G92" s="52">
        <f t="shared" si="7"/>
        <v>1</v>
      </c>
      <c r="H92" s="52">
        <f t="shared" si="7"/>
        <v>0</v>
      </c>
      <c r="I92" s="52">
        <f t="shared" si="7"/>
        <v>0</v>
      </c>
      <c r="J92" s="52">
        <f t="shared" si="7"/>
        <v>4</v>
      </c>
      <c r="K92" s="86">
        <f>SUM(K85:K91)</f>
        <v>0</v>
      </c>
    </row>
    <row r="93" spans="1:14" ht="18.75" customHeight="1" thickBot="1" x14ac:dyDescent="0.4">
      <c r="A93" s="192"/>
      <c r="B93" s="92"/>
    </row>
    <row r="94" spans="1:14" x14ac:dyDescent="0.25">
      <c r="A94" s="568" t="s">
        <v>49</v>
      </c>
      <c r="B94" s="560" t="s">
        <v>50</v>
      </c>
      <c r="C94" s="520" t="s">
        <v>6</v>
      </c>
      <c r="D94" s="139" t="s">
        <v>51</v>
      </c>
      <c r="E94" s="140"/>
      <c r="F94" s="140"/>
      <c r="G94" s="141"/>
      <c r="H94" s="11"/>
      <c r="I94" s="11"/>
      <c r="J94" s="11"/>
      <c r="K94" s="11"/>
    </row>
    <row r="95" spans="1:14" ht="64.5" x14ac:dyDescent="0.25">
      <c r="A95" s="559"/>
      <c r="B95" s="561"/>
      <c r="C95" s="521"/>
      <c r="D95" s="115" t="s">
        <v>52</v>
      </c>
      <c r="E95" s="116" t="s">
        <v>53</v>
      </c>
      <c r="F95" s="116" t="s">
        <v>54</v>
      </c>
      <c r="G95" s="143" t="s">
        <v>14</v>
      </c>
      <c r="H95" s="11"/>
      <c r="I95" s="11"/>
      <c r="J95" s="11"/>
      <c r="K95" s="11"/>
      <c r="L95" s="11"/>
      <c r="M95" s="11"/>
      <c r="N95" s="11"/>
    </row>
    <row r="96" spans="1:14" s="11" customFormat="1" ht="26.25" customHeight="1" x14ac:dyDescent="0.25">
      <c r="A96" s="534"/>
      <c r="B96" s="535"/>
      <c r="C96" s="32">
        <v>2015</v>
      </c>
      <c r="D96" s="33"/>
      <c r="E96" s="34"/>
      <c r="F96" s="34"/>
      <c r="G96" s="36">
        <f t="shared" ref="G96:G101" si="8">SUM(D96:F96)</f>
        <v>0</v>
      </c>
      <c r="H96"/>
      <c r="I96"/>
      <c r="J96"/>
      <c r="K96"/>
    </row>
    <row r="97" spans="1:14" s="11" customFormat="1" ht="16.5" customHeight="1" x14ac:dyDescent="0.25">
      <c r="A97" s="534"/>
      <c r="B97" s="535"/>
      <c r="C97" s="32">
        <v>2016</v>
      </c>
      <c r="D97" s="33"/>
      <c r="E97" s="34"/>
      <c r="F97" s="34"/>
      <c r="G97" s="36">
        <f t="shared" si="8"/>
        <v>0</v>
      </c>
      <c r="H97"/>
      <c r="I97"/>
      <c r="J97"/>
      <c r="K97"/>
      <c r="L97"/>
      <c r="M97"/>
      <c r="N97"/>
    </row>
    <row r="98" spans="1:14" x14ac:dyDescent="0.25">
      <c r="A98" s="534"/>
      <c r="B98" s="535"/>
      <c r="C98" s="32">
        <v>2017</v>
      </c>
      <c r="D98" s="389"/>
      <c r="E98" s="391"/>
      <c r="F98" s="391"/>
      <c r="G98" s="36">
        <f t="shared" si="8"/>
        <v>0</v>
      </c>
    </row>
    <row r="99" spans="1:14" x14ac:dyDescent="0.25">
      <c r="A99" s="534"/>
      <c r="B99" s="535"/>
      <c r="C99" s="32">
        <v>2018</v>
      </c>
      <c r="D99" s="33">
        <f>SUM('dolnośląskie:Jednostka Centralna'!D99)</f>
        <v>2214</v>
      </c>
      <c r="E99" s="33">
        <f>SUM('dolnośląskie:Jednostka Centralna'!E99)</f>
        <v>1897</v>
      </c>
      <c r="F99" s="33">
        <f>SUM('dolnośląskie:Jednostka Centralna'!F99)</f>
        <v>1231</v>
      </c>
      <c r="G99" s="36">
        <f t="shared" si="8"/>
        <v>5342</v>
      </c>
    </row>
    <row r="100" spans="1:14" x14ac:dyDescent="0.25">
      <c r="A100" s="534"/>
      <c r="B100" s="535"/>
      <c r="C100" s="32">
        <v>2019</v>
      </c>
      <c r="D100" s="33"/>
      <c r="E100" s="34"/>
      <c r="F100" s="34"/>
      <c r="G100" s="36">
        <f t="shared" si="8"/>
        <v>0</v>
      </c>
    </row>
    <row r="101" spans="1:14" x14ac:dyDescent="0.25">
      <c r="A101" s="534"/>
      <c r="B101" s="535"/>
      <c r="C101" s="32">
        <v>2020</v>
      </c>
      <c r="D101" s="33"/>
      <c r="E101" s="34"/>
      <c r="F101" s="34"/>
      <c r="G101" s="36">
        <f t="shared" si="8"/>
        <v>0</v>
      </c>
    </row>
    <row r="102" spans="1:14" ht="15.75" thickBot="1" x14ac:dyDescent="0.3">
      <c r="A102" s="536"/>
      <c r="B102" s="537"/>
      <c r="C102" s="50" t="s">
        <v>14</v>
      </c>
      <c r="D102" s="51">
        <f>SUM(D95:D101)</f>
        <v>2214</v>
      </c>
      <c r="E102" s="52">
        <f>SUM(E95:E101)</f>
        <v>1897</v>
      </c>
      <c r="F102" s="52">
        <f>SUM(F95:F101)</f>
        <v>1231</v>
      </c>
      <c r="G102" s="145">
        <f>SUM(G95:G101)</f>
        <v>5342</v>
      </c>
    </row>
    <row r="103" spans="1:14" x14ac:dyDescent="0.25">
      <c r="A103" s="427"/>
      <c r="B103" s="428"/>
      <c r="C103" s="58"/>
      <c r="D103" s="58"/>
      <c r="J103" s="91"/>
    </row>
    <row r="104" spans="1:14" ht="21" x14ac:dyDescent="0.35">
      <c r="A104" s="151" t="s">
        <v>55</v>
      </c>
      <c r="B104" s="152"/>
      <c r="C104" s="151"/>
      <c r="D104" s="153"/>
      <c r="E104" s="153"/>
      <c r="F104" s="153"/>
      <c r="G104" s="153"/>
      <c r="H104" s="153"/>
      <c r="I104" s="153"/>
      <c r="J104" s="153"/>
      <c r="K104" s="153"/>
      <c r="L104" s="153"/>
    </row>
    <row r="105" spans="1:14" ht="15.75" thickBot="1" x14ac:dyDescent="0.3">
      <c r="B105" s="10"/>
    </row>
    <row r="106" spans="1:14" s="11" customFormat="1" ht="47.25" customHeight="1" x14ac:dyDescent="0.25">
      <c r="A106" s="569" t="s">
        <v>56</v>
      </c>
      <c r="B106" s="571" t="s">
        <v>57</v>
      </c>
      <c r="C106" s="573" t="s">
        <v>6</v>
      </c>
      <c r="D106" s="154" t="s">
        <v>58</v>
      </c>
      <c r="E106" s="154"/>
      <c r="F106" s="155"/>
      <c r="G106" s="155"/>
      <c r="H106" s="156" t="s">
        <v>59</v>
      </c>
      <c r="I106" s="154"/>
      <c r="J106" s="157"/>
    </row>
    <row r="107" spans="1:14" s="11" customFormat="1" ht="87.75" customHeight="1" x14ac:dyDescent="0.25">
      <c r="A107" s="570"/>
      <c r="B107" s="572"/>
      <c r="C107" s="574"/>
      <c r="D107" s="158" t="s">
        <v>60</v>
      </c>
      <c r="E107" s="159" t="s">
        <v>61</v>
      </c>
      <c r="F107" s="160" t="s">
        <v>62</v>
      </c>
      <c r="G107" s="161" t="s">
        <v>63</v>
      </c>
      <c r="H107" s="158" t="s">
        <v>64</v>
      </c>
      <c r="I107" s="159" t="s">
        <v>65</v>
      </c>
      <c r="J107" s="162" t="s">
        <v>66</v>
      </c>
    </row>
    <row r="108" spans="1:14" x14ac:dyDescent="0.25">
      <c r="A108" s="534"/>
      <c r="B108" s="535"/>
      <c r="C108" s="163">
        <v>2014</v>
      </c>
      <c r="D108" s="33"/>
      <c r="E108" s="34"/>
      <c r="F108" s="204"/>
      <c r="G108" s="203">
        <f>SUM(D108:F108)</f>
        <v>0</v>
      </c>
      <c r="H108" s="33"/>
      <c r="I108" s="34"/>
      <c r="J108" s="38"/>
    </row>
    <row r="109" spans="1:14" x14ac:dyDescent="0.25">
      <c r="A109" s="534"/>
      <c r="B109" s="535"/>
      <c r="C109" s="163">
        <v>2015</v>
      </c>
      <c r="D109" s="33"/>
      <c r="E109" s="34"/>
      <c r="F109" s="204"/>
      <c r="G109" s="203">
        <f t="shared" ref="G109:G114" si="9">SUM(D109:F109)</f>
        <v>0</v>
      </c>
      <c r="H109" s="33"/>
      <c r="I109" s="34"/>
      <c r="J109" s="38"/>
    </row>
    <row r="110" spans="1:14" x14ac:dyDescent="0.25">
      <c r="A110" s="534"/>
      <c r="B110" s="535"/>
      <c r="C110" s="163">
        <v>2016</v>
      </c>
      <c r="D110" s="33"/>
      <c r="E110" s="34"/>
      <c r="F110" s="204"/>
      <c r="G110" s="203">
        <f t="shared" si="9"/>
        <v>0</v>
      </c>
      <c r="H110" s="33"/>
      <c r="I110" s="34"/>
      <c r="J110" s="38"/>
    </row>
    <row r="111" spans="1:14" x14ac:dyDescent="0.25">
      <c r="A111" s="534"/>
      <c r="B111" s="535"/>
      <c r="C111" s="163">
        <v>2017</v>
      </c>
      <c r="D111" s="389"/>
      <c r="E111" s="391"/>
      <c r="F111" s="429"/>
      <c r="G111" s="203">
        <f t="shared" si="9"/>
        <v>0</v>
      </c>
      <c r="H111" s="430"/>
      <c r="I111" s="431"/>
      <c r="J111" s="432"/>
    </row>
    <row r="112" spans="1:14" x14ac:dyDescent="0.25">
      <c r="A112" s="534"/>
      <c r="B112" s="535"/>
      <c r="C112" s="163">
        <v>2018</v>
      </c>
      <c r="D112" s="33">
        <f>SUM('dolnośląskie:Jednostka Centralna'!D112)</f>
        <v>3</v>
      </c>
      <c r="E112" s="33">
        <f>SUM('dolnośląskie:Jednostka Centralna'!E112)</f>
        <v>3</v>
      </c>
      <c r="F112" s="429">
        <f>SUM('dolnośląskie:Jednostka Centralna'!F112)</f>
        <v>11</v>
      </c>
      <c r="G112" s="203">
        <f t="shared" si="9"/>
        <v>17</v>
      </c>
      <c r="H112" s="33">
        <f>SUM('dolnośląskie:Jednostka Centralna'!H112)</f>
        <v>13</v>
      </c>
      <c r="I112" s="33">
        <f>SUM('dolnośląskie:Jednostka Centralna'!I112)</f>
        <v>0</v>
      </c>
      <c r="J112" s="432">
        <f>SUM('dolnośląskie:Jednostka Centralna'!J112)</f>
        <v>4</v>
      </c>
    </row>
    <row r="113" spans="1:19" x14ac:dyDescent="0.25">
      <c r="A113" s="534"/>
      <c r="B113" s="535"/>
      <c r="C113" s="163">
        <v>2019</v>
      </c>
      <c r="D113" s="33"/>
      <c r="E113" s="34"/>
      <c r="F113" s="204"/>
      <c r="G113" s="203">
        <f t="shared" si="9"/>
        <v>0</v>
      </c>
      <c r="H113" s="33"/>
      <c r="I113" s="34"/>
      <c r="J113" s="38"/>
    </row>
    <row r="114" spans="1:19" x14ac:dyDescent="0.25">
      <c r="A114" s="534"/>
      <c r="B114" s="535"/>
      <c r="C114" s="163">
        <v>2020</v>
      </c>
      <c r="D114" s="33"/>
      <c r="E114" s="34"/>
      <c r="F114" s="204"/>
      <c r="G114" s="203">
        <f t="shared" si="9"/>
        <v>0</v>
      </c>
      <c r="H114" s="33"/>
      <c r="I114" s="34"/>
      <c r="J114" s="38"/>
    </row>
    <row r="115" spans="1:19" ht="30.6" customHeight="1" thickBot="1" x14ac:dyDescent="0.3">
      <c r="A115" s="536"/>
      <c r="B115" s="537"/>
      <c r="C115" s="172" t="s">
        <v>14</v>
      </c>
      <c r="D115" s="51">
        <f t="shared" ref="D115:J115" si="10">SUM(D108:D114)</f>
        <v>3</v>
      </c>
      <c r="E115" s="52">
        <f t="shared" si="10"/>
        <v>3</v>
      </c>
      <c r="F115" s="205">
        <f t="shared" si="10"/>
        <v>11</v>
      </c>
      <c r="G115" s="205">
        <f t="shared" si="10"/>
        <v>17</v>
      </c>
      <c r="H115" s="51">
        <f t="shared" si="10"/>
        <v>13</v>
      </c>
      <c r="I115" s="52">
        <f t="shared" si="10"/>
        <v>0</v>
      </c>
      <c r="J115" s="175">
        <f t="shared" si="10"/>
        <v>4</v>
      </c>
    </row>
    <row r="116" spans="1:19" ht="17.100000000000001" customHeight="1" thickBot="1" x14ac:dyDescent="0.3">
      <c r="A116" s="433"/>
      <c r="B116" s="428"/>
      <c r="C116" s="434"/>
      <c r="D116" s="435"/>
      <c r="H116" s="436"/>
      <c r="K116" s="91"/>
    </row>
    <row r="117" spans="1:19" s="11" customFormat="1" ht="78" customHeight="1" x14ac:dyDescent="0.3">
      <c r="A117" s="180" t="s">
        <v>67</v>
      </c>
      <c r="B117" s="522" t="s">
        <v>38</v>
      </c>
      <c r="C117" s="182" t="s">
        <v>6</v>
      </c>
      <c r="D117" s="183" t="s">
        <v>68</v>
      </c>
      <c r="E117" s="184" t="s">
        <v>69</v>
      </c>
      <c r="F117" s="184" t="s">
        <v>70</v>
      </c>
      <c r="G117" s="184" t="s">
        <v>71</v>
      </c>
      <c r="H117" s="184" t="s">
        <v>72</v>
      </c>
      <c r="I117" s="185" t="s">
        <v>73</v>
      </c>
      <c r="J117" s="186" t="s">
        <v>74</v>
      </c>
      <c r="K117" s="186" t="s">
        <v>75</v>
      </c>
    </row>
    <row r="118" spans="1:19" x14ac:dyDescent="0.25">
      <c r="A118" s="534"/>
      <c r="B118" s="535"/>
      <c r="C118" s="32">
        <v>2014</v>
      </c>
      <c r="D118" s="37"/>
      <c r="E118" s="34"/>
      <c r="F118" s="34"/>
      <c r="G118" s="34"/>
      <c r="H118" s="34"/>
      <c r="I118" s="38"/>
      <c r="J118" s="316">
        <f t="shared" ref="J118:K124" si="11">D118+F118+H118</f>
        <v>0</v>
      </c>
      <c r="K118" s="316">
        <f t="shared" si="11"/>
        <v>0</v>
      </c>
    </row>
    <row r="119" spans="1:19" x14ac:dyDescent="0.25">
      <c r="A119" s="534"/>
      <c r="B119" s="535"/>
      <c r="C119" s="32">
        <v>2015</v>
      </c>
      <c r="D119" s="37"/>
      <c r="E119" s="34"/>
      <c r="F119" s="34"/>
      <c r="G119" s="34"/>
      <c r="H119" s="34"/>
      <c r="I119" s="38"/>
      <c r="J119" s="316">
        <f t="shared" si="11"/>
        <v>0</v>
      </c>
      <c r="K119" s="316">
        <f t="shared" si="11"/>
        <v>0</v>
      </c>
    </row>
    <row r="120" spans="1:19" x14ac:dyDescent="0.25">
      <c r="A120" s="534"/>
      <c r="B120" s="535"/>
      <c r="C120" s="32">
        <v>2016</v>
      </c>
      <c r="D120" s="37"/>
      <c r="E120" s="34"/>
      <c r="F120" s="34"/>
      <c r="G120" s="34"/>
      <c r="H120" s="34"/>
      <c r="I120" s="38"/>
      <c r="J120" s="316">
        <f t="shared" si="11"/>
        <v>0</v>
      </c>
      <c r="K120" s="316">
        <f t="shared" si="11"/>
        <v>0</v>
      </c>
    </row>
    <row r="121" spans="1:19" x14ac:dyDescent="0.25">
      <c r="A121" s="534"/>
      <c r="B121" s="535"/>
      <c r="C121" s="32">
        <v>2017</v>
      </c>
      <c r="D121" s="419"/>
      <c r="E121" s="391"/>
      <c r="F121" s="391"/>
      <c r="G121" s="391"/>
      <c r="H121" s="391"/>
      <c r="I121" s="415"/>
      <c r="J121" s="316">
        <f t="shared" si="11"/>
        <v>0</v>
      </c>
      <c r="K121" s="316">
        <f t="shared" si="11"/>
        <v>0</v>
      </c>
    </row>
    <row r="122" spans="1:19" x14ac:dyDescent="0.25">
      <c r="A122" s="534"/>
      <c r="B122" s="535"/>
      <c r="C122" s="32">
        <v>2018</v>
      </c>
      <c r="D122" s="33">
        <f>SUM('dolnośląskie:Jednostka Centralna'!D122)</f>
        <v>4</v>
      </c>
      <c r="E122" s="33">
        <f>SUM('dolnośląskie:Jednostka Centralna'!E122)</f>
        <v>43</v>
      </c>
      <c r="F122" s="33">
        <f>SUM('dolnośląskie:Jednostka Centralna'!F122)</f>
        <v>0</v>
      </c>
      <c r="G122" s="33">
        <f>SUM('dolnośląskie:Jednostka Centralna'!G122)</f>
        <v>7</v>
      </c>
      <c r="H122" s="33">
        <f>SUM('dolnośląskie:Jednostka Centralna'!H122)</f>
        <v>0</v>
      </c>
      <c r="I122" s="415">
        <f>SUM('dolnośląskie:Jednostka Centralna'!I122)</f>
        <v>16</v>
      </c>
      <c r="J122" s="316">
        <f t="shared" si="11"/>
        <v>4</v>
      </c>
      <c r="K122" s="316">
        <f t="shared" si="11"/>
        <v>66</v>
      </c>
    </row>
    <row r="123" spans="1:19" x14ac:dyDescent="0.25">
      <c r="A123" s="534"/>
      <c r="B123" s="535"/>
      <c r="C123" s="32">
        <v>2019</v>
      </c>
      <c r="D123" s="37"/>
      <c r="E123" s="34"/>
      <c r="F123" s="34"/>
      <c r="G123" s="34"/>
      <c r="H123" s="34"/>
      <c r="I123" s="38"/>
      <c r="J123" s="316">
        <f t="shared" si="11"/>
        <v>0</v>
      </c>
      <c r="K123" s="316">
        <f t="shared" si="11"/>
        <v>0</v>
      </c>
    </row>
    <row r="124" spans="1:19" x14ac:dyDescent="0.25">
      <c r="A124" s="534"/>
      <c r="B124" s="535"/>
      <c r="C124" s="32">
        <v>2020</v>
      </c>
      <c r="D124" s="37"/>
      <c r="E124" s="34"/>
      <c r="F124" s="34"/>
      <c r="G124" s="34"/>
      <c r="H124" s="34"/>
      <c r="I124" s="38"/>
      <c r="J124" s="316">
        <f t="shared" si="11"/>
        <v>0</v>
      </c>
      <c r="K124" s="316">
        <f t="shared" si="11"/>
        <v>0</v>
      </c>
    </row>
    <row r="125" spans="1:19" ht="51" customHeight="1" thickBot="1" x14ac:dyDescent="0.3">
      <c r="A125" s="536"/>
      <c r="B125" s="537"/>
      <c r="C125" s="50" t="s">
        <v>14</v>
      </c>
      <c r="D125" s="85"/>
      <c r="E125" s="52">
        <f>SUM(E118:E124)</f>
        <v>43</v>
      </c>
      <c r="F125" s="52"/>
      <c r="G125" s="52">
        <f>SUM(G118:G124)</f>
        <v>7</v>
      </c>
      <c r="H125" s="52"/>
      <c r="I125" s="86">
        <f>SUM(I118:I124)</f>
        <v>16</v>
      </c>
      <c r="J125" s="86">
        <f>SUM(J118:J124)</f>
        <v>4</v>
      </c>
      <c r="K125" s="86">
        <f>SUM(K118:K124)</f>
        <v>66</v>
      </c>
    </row>
    <row r="126" spans="1:19" ht="18.95" customHeight="1" x14ac:dyDescent="0.25">
      <c r="A126" s="437"/>
      <c r="B126" s="428"/>
      <c r="C126" s="58"/>
      <c r="D126" s="58"/>
      <c r="S126" s="91"/>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89"/>
      <c r="E134" s="391"/>
      <c r="F134" s="391"/>
      <c r="G134" s="203">
        <f t="shared" si="12"/>
        <v>0</v>
      </c>
      <c r="H134" s="101"/>
      <c r="I134" s="419"/>
      <c r="J134" s="391"/>
      <c r="K134" s="391"/>
      <c r="L134" s="391"/>
      <c r="M134" s="391"/>
      <c r="N134" s="391"/>
      <c r="O134" s="415"/>
    </row>
    <row r="135" spans="1:15" x14ac:dyDescent="0.25">
      <c r="A135" s="589"/>
      <c r="B135" s="590"/>
      <c r="C135" s="32">
        <v>2018</v>
      </c>
      <c r="D135" s="33">
        <f>SUM('dolnośląskie:Jednostka Centralna'!D135)</f>
        <v>577</v>
      </c>
      <c r="E135" s="33">
        <f>SUM('dolnośląskie:Jednostka Centralna'!E135)</f>
        <v>164</v>
      </c>
      <c r="F135" s="33">
        <f>SUM('dolnośląskie:Jednostka Centralna'!F135)</f>
        <v>78</v>
      </c>
      <c r="G135" s="203">
        <f t="shared" si="12"/>
        <v>741</v>
      </c>
      <c r="H135" s="101">
        <f>SUM('dolnośląskie:Jednostka Centralna'!H135)</f>
        <v>1351</v>
      </c>
      <c r="I135" s="33">
        <f>SUM('dolnośląskie:Jednostka Centralna'!I135)</f>
        <v>290</v>
      </c>
      <c r="J135" s="33">
        <f>SUM('dolnośląskie:Jednostka Centralna'!J135)</f>
        <v>70</v>
      </c>
      <c r="K135" s="33">
        <f>SUM('dolnośląskie:Jednostka Centralna'!K135)</f>
        <v>84</v>
      </c>
      <c r="L135" s="33">
        <f>SUM('dolnośląskie:Jednostka Centralna'!L135)</f>
        <v>62</v>
      </c>
      <c r="M135" s="33">
        <f>SUM('dolnośląskie:Jednostka Centralna'!M135)</f>
        <v>7</v>
      </c>
      <c r="N135" s="33">
        <f>SUM('dolnośląskie:Jednostka Centralna'!N135)</f>
        <v>256</v>
      </c>
      <c r="O135" s="415">
        <f>SUM('dolnośląskie:Jednostka Centralna'!O135)</f>
        <v>25</v>
      </c>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577</v>
      </c>
      <c r="E138" s="52">
        <f>SUM(E131:E137)</f>
        <v>164</v>
      </c>
      <c r="F138" s="52">
        <f>SUM(F131:F137)</f>
        <v>78</v>
      </c>
      <c r="G138" s="205">
        <f t="shared" ref="G138:O138" si="13">SUM(G131:G137)</f>
        <v>741</v>
      </c>
      <c r="H138" s="206">
        <f t="shared" si="13"/>
        <v>1351</v>
      </c>
      <c r="I138" s="85">
        <f t="shared" si="13"/>
        <v>290</v>
      </c>
      <c r="J138" s="52">
        <f t="shared" si="13"/>
        <v>70</v>
      </c>
      <c r="K138" s="52">
        <f t="shared" si="13"/>
        <v>84</v>
      </c>
      <c r="L138" s="52">
        <f t="shared" si="13"/>
        <v>62</v>
      </c>
      <c r="M138" s="52">
        <f t="shared" si="13"/>
        <v>7</v>
      </c>
      <c r="N138" s="52">
        <f t="shared" si="13"/>
        <v>256</v>
      </c>
      <c r="O138" s="86">
        <f t="shared" si="13"/>
        <v>25</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2" x14ac:dyDescent="0.25">
      <c r="A145" s="534"/>
      <c r="B145" s="535"/>
      <c r="C145" s="32">
        <v>2017</v>
      </c>
      <c r="D145" s="389"/>
      <c r="E145" s="391"/>
      <c r="F145" s="391"/>
      <c r="G145" s="214">
        <f t="shared" si="14"/>
        <v>0</v>
      </c>
      <c r="H145" s="419"/>
      <c r="I145" s="391"/>
      <c r="J145" s="391"/>
      <c r="K145" s="391"/>
      <c r="L145" s="415"/>
    </row>
    <row r="146" spans="1:12" x14ac:dyDescent="0.25">
      <c r="A146" s="534"/>
      <c r="B146" s="535"/>
      <c r="C146" s="32">
        <v>2018</v>
      </c>
      <c r="D146" s="33">
        <f>SUM('dolnośląskie:Jednostka Centralna'!D146)</f>
        <v>27618</v>
      </c>
      <c r="E146" s="33">
        <f>SUM('dolnośląskie:Jednostka Centralna'!E146)</f>
        <v>11725</v>
      </c>
      <c r="F146" s="33">
        <f>SUM('dolnośląskie:Jednostka Centralna'!F146)</f>
        <v>5541</v>
      </c>
      <c r="G146" s="214">
        <f t="shared" si="14"/>
        <v>44884</v>
      </c>
      <c r="H146" s="33">
        <f>SUM('dolnośląskie:Jednostka Centralna'!H146)</f>
        <v>92</v>
      </c>
      <c r="I146" s="33">
        <f>SUM('dolnośląskie:Jednostka Centralna'!I146)</f>
        <v>5372</v>
      </c>
      <c r="J146" s="33">
        <f>SUM('dolnośląskie:Jednostka Centralna'!J146)</f>
        <v>3278</v>
      </c>
      <c r="K146" s="33">
        <f>SUM('dolnośląskie:Jednostka Centralna'!K146)</f>
        <v>15365</v>
      </c>
      <c r="L146" s="415">
        <f>SUM('dolnośląskie:Jednostka Centralna'!L146)</f>
        <v>13435</v>
      </c>
    </row>
    <row r="147" spans="1:12" x14ac:dyDescent="0.25">
      <c r="A147" s="534"/>
      <c r="B147" s="535"/>
      <c r="C147" s="32">
        <v>2019</v>
      </c>
      <c r="D147" s="33"/>
      <c r="E147" s="34"/>
      <c r="F147" s="34"/>
      <c r="G147" s="214">
        <f t="shared" si="14"/>
        <v>0</v>
      </c>
      <c r="H147" s="37"/>
      <c r="I147" s="34"/>
      <c r="J147" s="34"/>
      <c r="K147" s="34"/>
      <c r="L147" s="38"/>
    </row>
    <row r="148" spans="1:12" x14ac:dyDescent="0.25">
      <c r="A148" s="534"/>
      <c r="B148" s="535"/>
      <c r="C148" s="32">
        <v>2020</v>
      </c>
      <c r="D148" s="33"/>
      <c r="E148" s="34"/>
      <c r="F148" s="34"/>
      <c r="G148" s="214">
        <f t="shared" si="14"/>
        <v>0</v>
      </c>
      <c r="H148" s="37"/>
      <c r="I148" s="34"/>
      <c r="J148" s="34"/>
      <c r="K148" s="34"/>
      <c r="L148" s="38"/>
    </row>
    <row r="149" spans="1:12" ht="15.75" thickBot="1" x14ac:dyDescent="0.3">
      <c r="A149" s="536"/>
      <c r="B149" s="537"/>
      <c r="C149" s="50" t="s">
        <v>14</v>
      </c>
      <c r="D149" s="51">
        <f t="shared" ref="D149:L149" si="15">SUM(D142:D148)</f>
        <v>27618</v>
      </c>
      <c r="E149" s="52">
        <f t="shared" si="15"/>
        <v>11725</v>
      </c>
      <c r="F149" s="52">
        <f t="shared" si="15"/>
        <v>5541</v>
      </c>
      <c r="G149" s="54">
        <f t="shared" si="15"/>
        <v>44884</v>
      </c>
      <c r="H149" s="85">
        <f t="shared" si="15"/>
        <v>92</v>
      </c>
      <c r="I149" s="52">
        <f t="shared" si="15"/>
        <v>5372</v>
      </c>
      <c r="J149" s="52">
        <f t="shared" si="15"/>
        <v>3278</v>
      </c>
      <c r="K149" s="52">
        <f t="shared" si="15"/>
        <v>15365</v>
      </c>
      <c r="L149" s="86">
        <f t="shared" si="15"/>
        <v>13435</v>
      </c>
    </row>
    <row r="150" spans="1:12" x14ac:dyDescent="0.25">
      <c r="B150" s="10"/>
    </row>
    <row r="151" spans="1:12" x14ac:dyDescent="0.25">
      <c r="B151" s="10"/>
    </row>
    <row r="152" spans="1:12" ht="21" x14ac:dyDescent="0.35">
      <c r="A152" s="215" t="s">
        <v>99</v>
      </c>
      <c r="B152" s="68"/>
      <c r="C152" s="67"/>
      <c r="D152" s="69"/>
      <c r="E152" s="69"/>
      <c r="F152" s="69"/>
      <c r="G152" s="69"/>
      <c r="H152" s="69"/>
      <c r="I152" s="69"/>
      <c r="J152" s="69"/>
      <c r="K152" s="69"/>
      <c r="L152" s="69"/>
    </row>
    <row r="153" spans="1:12" ht="15.75" thickBot="1" x14ac:dyDescent="0.3">
      <c r="A153" s="91"/>
      <c r="B153" s="92"/>
    </row>
    <row r="154" spans="1:12" s="11" customFormat="1" ht="65.25" x14ac:dyDescent="0.3">
      <c r="A154" s="216" t="s">
        <v>100</v>
      </c>
      <c r="B154" s="217" t="s">
        <v>101</v>
      </c>
      <c r="C154" s="218" t="s">
        <v>102</v>
      </c>
      <c r="D154" s="219" t="s">
        <v>103</v>
      </c>
      <c r="E154" s="220" t="s">
        <v>104</v>
      </c>
      <c r="F154" s="220" t="s">
        <v>105</v>
      </c>
      <c r="G154" s="221" t="s">
        <v>106</v>
      </c>
    </row>
    <row r="155" spans="1:12" ht="15" customHeight="1" x14ac:dyDescent="0.25">
      <c r="A155" s="540"/>
      <c r="B155" s="541"/>
      <c r="C155" s="32">
        <v>2014</v>
      </c>
      <c r="D155" s="33"/>
      <c r="E155" s="34"/>
      <c r="F155" s="34"/>
      <c r="G155" s="38"/>
    </row>
    <row r="156" spans="1:12" x14ac:dyDescent="0.25">
      <c r="A156" s="540"/>
      <c r="B156" s="541"/>
      <c r="C156" s="32">
        <v>2015</v>
      </c>
      <c r="D156" s="33"/>
      <c r="E156" s="34"/>
      <c r="F156" s="34"/>
      <c r="G156" s="38"/>
    </row>
    <row r="157" spans="1:12" x14ac:dyDescent="0.25">
      <c r="A157" s="540"/>
      <c r="B157" s="541"/>
      <c r="C157" s="32">
        <v>2016</v>
      </c>
      <c r="D157" s="33"/>
      <c r="E157" s="34"/>
      <c r="F157" s="34"/>
      <c r="G157" s="38"/>
    </row>
    <row r="158" spans="1:12" x14ac:dyDescent="0.25">
      <c r="A158" s="540"/>
      <c r="B158" s="541"/>
      <c r="C158" s="32">
        <v>2017</v>
      </c>
      <c r="D158" s="389"/>
      <c r="E158" s="391"/>
      <c r="F158" s="391"/>
      <c r="G158" s="415"/>
    </row>
    <row r="159" spans="1:12" x14ac:dyDescent="0.25">
      <c r="A159" s="540"/>
      <c r="B159" s="541"/>
      <c r="C159" s="32">
        <v>2018</v>
      </c>
      <c r="D159" s="33">
        <f>SUM('dolnośląskie:Jednostka Centralna'!D159)</f>
        <v>68</v>
      </c>
      <c r="E159" s="33">
        <f>SUM('dolnośląskie:Jednostka Centralna'!E159)</f>
        <v>1182</v>
      </c>
      <c r="F159" s="33">
        <f>SUM('dolnośląskie:Jednostka Centralna'!F159)</f>
        <v>16</v>
      </c>
      <c r="G159" s="415">
        <f>SUM('dolnośląskie:Jednostka Centralna'!G159)</f>
        <v>0</v>
      </c>
    </row>
    <row r="160" spans="1:12"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68</v>
      </c>
      <c r="E162" s="52">
        <f>SUM(E155:E160)</f>
        <v>1182</v>
      </c>
      <c r="F162" s="52">
        <f>SUM(F155:F160)</f>
        <v>16</v>
      </c>
      <c r="G162" s="86">
        <f>SUM(G155:G160)</f>
        <v>0</v>
      </c>
    </row>
    <row r="163" spans="1:9" x14ac:dyDescent="0.25">
      <c r="B163" s="10"/>
    </row>
    <row r="164" spans="1:9" ht="15.75" thickBot="1" x14ac:dyDescent="0.3">
      <c r="B164" s="10"/>
    </row>
    <row r="165" spans="1:9" ht="18.75" x14ac:dyDescent="0.3">
      <c r="A165" s="225" t="s">
        <v>107</v>
      </c>
      <c r="B165" s="226" t="s">
        <v>108</v>
      </c>
      <c r="C165" s="438">
        <v>2014</v>
      </c>
      <c r="D165" s="438">
        <v>2015</v>
      </c>
      <c r="E165" s="438">
        <v>2016</v>
      </c>
      <c r="F165" s="438">
        <v>2017</v>
      </c>
      <c r="G165" s="438">
        <v>2018</v>
      </c>
      <c r="H165" s="438">
        <v>2019</v>
      </c>
      <c r="I165" s="439">
        <v>2020</v>
      </c>
    </row>
    <row r="166" spans="1:9" ht="14.1" customHeight="1" x14ac:dyDescent="0.25">
      <c r="A166" s="229" t="s">
        <v>109</v>
      </c>
      <c r="B166" s="583"/>
      <c r="C166" s="230">
        <f>SUM(C167:C169)</f>
        <v>0</v>
      </c>
      <c r="D166" s="230">
        <f t="shared" ref="D166:I166" si="16">SUM(D167:D169)</f>
        <v>0</v>
      </c>
      <c r="E166" s="230">
        <f t="shared" si="16"/>
        <v>0</v>
      </c>
      <c r="F166" s="230">
        <f t="shared" si="16"/>
        <v>0</v>
      </c>
      <c r="G166" s="230">
        <f t="shared" si="16"/>
        <v>26735499.48</v>
      </c>
      <c r="H166" s="230">
        <f t="shared" si="16"/>
        <v>0</v>
      </c>
      <c r="I166" s="231">
        <f t="shared" si="16"/>
        <v>0</v>
      </c>
    </row>
    <row r="167" spans="1:9" ht="15.75" x14ac:dyDescent="0.25">
      <c r="A167" s="232" t="s">
        <v>111</v>
      </c>
      <c r="B167" s="584"/>
      <c r="C167" s="78"/>
      <c r="D167" s="78"/>
      <c r="E167" s="78"/>
      <c r="F167" s="420"/>
      <c r="G167" s="33">
        <f>SUM('dolnośląskie:Jednostka Centralna'!G167)</f>
        <v>20120068.449999999</v>
      </c>
      <c r="H167" s="78"/>
      <c r="I167" s="233"/>
    </row>
    <row r="168" spans="1:9" ht="15.75" x14ac:dyDescent="0.25">
      <c r="A168" s="232" t="s">
        <v>112</v>
      </c>
      <c r="B168" s="584"/>
      <c r="C168" s="78"/>
      <c r="D168" s="78"/>
      <c r="E168" s="78"/>
      <c r="F168" s="420"/>
      <c r="G168" s="33">
        <f>SUM('dolnośląskie:Jednostka Centralna'!G168)</f>
        <v>2181462.9499999997</v>
      </c>
      <c r="H168" s="78"/>
      <c r="I168" s="233"/>
    </row>
    <row r="169" spans="1:9" ht="15.75" x14ac:dyDescent="0.25">
      <c r="A169" s="232" t="s">
        <v>113</v>
      </c>
      <c r="B169" s="584"/>
      <c r="C169" s="78"/>
      <c r="D169" s="78"/>
      <c r="E169" s="78"/>
      <c r="F169" s="420"/>
      <c r="G169" s="33">
        <f>SUM('dolnośląskie:Jednostka Centralna'!G169)</f>
        <v>4433968.080000001</v>
      </c>
      <c r="H169" s="78"/>
      <c r="I169" s="233"/>
    </row>
    <row r="170" spans="1:9" ht="31.5" x14ac:dyDescent="0.25">
      <c r="A170" s="229" t="s">
        <v>114</v>
      </c>
      <c r="B170" s="584"/>
      <c r="C170" s="78"/>
      <c r="D170" s="78"/>
      <c r="E170" s="78"/>
      <c r="F170" s="420"/>
      <c r="G170" s="33">
        <f>SUM('dolnośląskie:Jednostka Centralna'!G170)</f>
        <v>13777382.489999998</v>
      </c>
      <c r="H170" s="78"/>
      <c r="I170" s="233"/>
    </row>
    <row r="171" spans="1:9" ht="16.5" thickBot="1" x14ac:dyDescent="0.3">
      <c r="A171" s="235" t="s">
        <v>115</v>
      </c>
      <c r="B171" s="585"/>
      <c r="C171" s="236">
        <f t="shared" ref="C171:I171" si="17">C166+C170</f>
        <v>0</v>
      </c>
      <c r="D171" s="236">
        <f t="shared" si="17"/>
        <v>0</v>
      </c>
      <c r="E171" s="236">
        <f t="shared" si="17"/>
        <v>0</v>
      </c>
      <c r="F171" s="236">
        <f t="shared" si="17"/>
        <v>0</v>
      </c>
      <c r="G171" s="236">
        <f t="shared" si="17"/>
        <v>40512881.969999999</v>
      </c>
      <c r="H171" s="236">
        <f t="shared" si="17"/>
        <v>0</v>
      </c>
      <c r="I171" s="86">
        <f t="shared" si="17"/>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18"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159</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35</v>
      </c>
      <c r="B12" s="535"/>
      <c r="C12" s="32">
        <v>2014</v>
      </c>
      <c r="D12" s="33"/>
      <c r="E12" s="34"/>
      <c r="F12" s="34"/>
      <c r="G12" s="35"/>
      <c r="H12" s="36">
        <f>SUM(D12:G12)</f>
        <v>0</v>
      </c>
      <c r="I12" s="37"/>
      <c r="J12" s="34"/>
      <c r="K12" s="34"/>
      <c r="L12" s="34"/>
      <c r="M12" s="34"/>
      <c r="N12" s="34"/>
      <c r="O12" s="38"/>
      <c r="P12" s="11"/>
      <c r="Q12" s="11"/>
    </row>
    <row r="13" spans="1:17" ht="15.75" x14ac:dyDescent="0.25">
      <c r="A13" s="534"/>
      <c r="B13" s="535"/>
      <c r="C13" s="32">
        <v>2015</v>
      </c>
      <c r="D13" s="302"/>
      <c r="E13" s="303"/>
      <c r="F13" s="303"/>
      <c r="G13" s="304"/>
      <c r="H13" s="305"/>
      <c r="I13" s="303"/>
      <c r="J13" s="303"/>
      <c r="K13" s="303"/>
      <c r="L13" s="303"/>
      <c r="M13" s="303"/>
      <c r="N13" s="303"/>
      <c r="O13" s="306"/>
      <c r="P13" s="11"/>
      <c r="Q13" s="11"/>
    </row>
    <row r="14" spans="1:17" ht="15.75" x14ac:dyDescent="0.25">
      <c r="A14" s="534"/>
      <c r="B14" s="535"/>
      <c r="C14" s="32">
        <v>2016</v>
      </c>
      <c r="D14" s="302"/>
      <c r="E14" s="303"/>
      <c r="F14" s="303"/>
      <c r="G14" s="304"/>
      <c r="H14" s="305"/>
      <c r="I14" s="303"/>
      <c r="J14" s="303"/>
      <c r="K14" s="303"/>
      <c r="L14" s="303"/>
      <c r="M14" s="303"/>
      <c r="N14" s="303"/>
      <c r="O14" s="306"/>
      <c r="P14" s="11"/>
      <c r="Q14" s="11"/>
    </row>
    <row r="15" spans="1:17" ht="15.75" x14ac:dyDescent="0.25">
      <c r="A15" s="534"/>
      <c r="B15" s="535"/>
      <c r="C15" s="32">
        <v>2017</v>
      </c>
      <c r="D15" s="302"/>
      <c r="E15" s="303"/>
      <c r="F15" s="303"/>
      <c r="G15" s="304"/>
      <c r="H15" s="305"/>
      <c r="I15" s="303"/>
      <c r="J15" s="303"/>
      <c r="K15" s="303"/>
      <c r="L15" s="303"/>
      <c r="M15" s="303"/>
      <c r="N15" s="303"/>
      <c r="O15" s="306"/>
      <c r="P15" s="11"/>
      <c r="Q15" s="11"/>
    </row>
    <row r="16" spans="1:17" x14ac:dyDescent="0.25">
      <c r="A16" s="534"/>
      <c r="B16" s="535"/>
      <c r="C16" s="32">
        <v>2018</v>
      </c>
      <c r="D16" s="33">
        <v>17</v>
      </c>
      <c r="E16" s="34">
        <v>0</v>
      </c>
      <c r="F16" s="34"/>
      <c r="G16" s="35">
        <v>1</v>
      </c>
      <c r="H16" s="36">
        <f t="shared" ref="H16:H18" si="0">SUM(D16:G16)</f>
        <v>18</v>
      </c>
      <c r="I16" s="37">
        <v>1</v>
      </c>
      <c r="J16" s="34">
        <v>2</v>
      </c>
      <c r="K16" s="34">
        <v>0</v>
      </c>
      <c r="L16" s="34">
        <v>0</v>
      </c>
      <c r="M16" s="34">
        <v>0</v>
      </c>
      <c r="N16" s="34">
        <v>15</v>
      </c>
      <c r="O16" s="38">
        <v>0</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17</v>
      </c>
      <c r="E19" s="52">
        <f>SUM(E12:E18)</f>
        <v>0</v>
      </c>
      <c r="F19" s="52">
        <f>SUM(F12:F18)</f>
        <v>0</v>
      </c>
      <c r="G19" s="53"/>
      <c r="H19" s="54">
        <f>SUM(D19:F19)</f>
        <v>17</v>
      </c>
      <c r="I19" s="85">
        <f>SUM(I12:I18)</f>
        <v>1</v>
      </c>
      <c r="J19" s="52"/>
      <c r="K19" s="52">
        <f>SUM(K12:K18)</f>
        <v>0</v>
      </c>
      <c r="L19" s="52">
        <f>SUM(L12:L18)</f>
        <v>0</v>
      </c>
      <c r="M19" s="52">
        <f>SUM(M12:M18)</f>
        <v>0</v>
      </c>
      <c r="N19" s="52">
        <f>SUM(N12:N18)</f>
        <v>15</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392"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f>SUM(D23:G23)</f>
        <v>0</v>
      </c>
    </row>
    <row r="24" spans="1:17" ht="15.75" x14ac:dyDescent="0.25">
      <c r="A24" s="534"/>
      <c r="B24" s="535"/>
      <c r="C24" s="32">
        <v>2015</v>
      </c>
      <c r="D24" s="307"/>
      <c r="E24" s="303"/>
      <c r="F24" s="303"/>
      <c r="G24" s="35"/>
      <c r="H24" s="36"/>
    </row>
    <row r="25" spans="1:17" ht="15.75" x14ac:dyDescent="0.25">
      <c r="A25" s="534"/>
      <c r="B25" s="535"/>
      <c r="C25" s="32">
        <v>2016</v>
      </c>
      <c r="D25" s="307"/>
      <c r="E25" s="303"/>
      <c r="F25" s="303"/>
      <c r="G25" s="35"/>
      <c r="H25" s="36"/>
    </row>
    <row r="26" spans="1:17" ht="15.75" x14ac:dyDescent="0.25">
      <c r="A26" s="534"/>
      <c r="B26" s="535"/>
      <c r="C26" s="32">
        <v>2017</v>
      </c>
      <c r="D26" s="307"/>
      <c r="E26" s="303"/>
      <c r="F26" s="303"/>
      <c r="G26" s="41"/>
      <c r="H26" s="36"/>
    </row>
    <row r="27" spans="1:17" x14ac:dyDescent="0.25">
      <c r="A27" s="534"/>
      <c r="B27" s="535"/>
      <c r="C27" s="32">
        <v>2018</v>
      </c>
      <c r="D27" s="33">
        <v>44113</v>
      </c>
      <c r="E27" s="34"/>
      <c r="F27" s="34"/>
      <c r="G27" s="35">
        <v>10000</v>
      </c>
      <c r="H27" s="36">
        <f t="shared" ref="H27:H29" si="1">SUM(D27:G27)</f>
        <v>54113</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44113</v>
      </c>
      <c r="E30" s="52">
        <f>SUM(E23:E29)</f>
        <v>0</v>
      </c>
      <c r="F30" s="52">
        <f>SUM(F23:F29)</f>
        <v>0</v>
      </c>
      <c r="G30" s="52">
        <f>SUM(G23:G29)</f>
        <v>10000</v>
      </c>
      <c r="H30" s="54">
        <f t="shared" ref="H30" si="2">SUM(D30:F30)</f>
        <v>44113</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78"/>
      <c r="G38" s="34"/>
      <c r="H38" s="34"/>
      <c r="I38" s="34"/>
      <c r="J38" s="34"/>
      <c r="K38" s="38"/>
    </row>
    <row r="39" spans="1:13" x14ac:dyDescent="0.25">
      <c r="A39" s="540"/>
      <c r="B39" s="541"/>
      <c r="C39" s="32">
        <v>2017</v>
      </c>
      <c r="D39" s="82"/>
      <c r="E39" s="42"/>
      <c r="F39" s="82"/>
      <c r="G39" s="40"/>
      <c r="H39" s="40"/>
      <c r="I39" s="40"/>
      <c r="J39" s="40"/>
      <c r="K39" s="43"/>
    </row>
    <row r="40" spans="1:13" x14ac:dyDescent="0.25">
      <c r="A40" s="540"/>
      <c r="B40" s="541"/>
      <c r="C40" s="32">
        <v>2018</v>
      </c>
      <c r="D40" s="78">
        <v>2</v>
      </c>
      <c r="E40" s="37"/>
      <c r="F40" s="34"/>
      <c r="G40" s="34">
        <v>1</v>
      </c>
      <c r="H40" s="34"/>
      <c r="I40" s="34"/>
      <c r="J40" s="34">
        <v>1</v>
      </c>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2</v>
      </c>
      <c r="E43" s="85">
        <f t="shared" ref="E43:J43" si="3">SUM(E36:E42)</f>
        <v>0</v>
      </c>
      <c r="F43" s="52">
        <f t="shared" si="3"/>
        <v>0</v>
      </c>
      <c r="G43" s="52">
        <f t="shared" si="3"/>
        <v>1</v>
      </c>
      <c r="H43" s="52">
        <f t="shared" si="3"/>
        <v>0</v>
      </c>
      <c r="I43" s="52">
        <f t="shared" si="3"/>
        <v>0</v>
      </c>
      <c r="J43" s="52">
        <f t="shared" si="3"/>
        <v>1</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3</v>
      </c>
      <c r="E54" s="37"/>
      <c r="F54" s="34"/>
      <c r="G54" s="34"/>
      <c r="H54" s="34"/>
      <c r="I54" s="34"/>
      <c r="J54" s="34">
        <v>3</v>
      </c>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3</v>
      </c>
      <c r="E57" s="85">
        <f t="shared" si="4"/>
        <v>0</v>
      </c>
      <c r="F57" s="52">
        <f t="shared" si="4"/>
        <v>0</v>
      </c>
      <c r="G57" s="52">
        <f t="shared" si="4"/>
        <v>0</v>
      </c>
      <c r="H57" s="52">
        <f t="shared" si="4"/>
        <v>0</v>
      </c>
      <c r="I57" s="52">
        <f t="shared" si="4"/>
        <v>0</v>
      </c>
      <c r="J57" s="52">
        <f>SUM(J50:J56)</f>
        <v>3</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161</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9</v>
      </c>
      <c r="F67" s="122"/>
      <c r="G67" s="123"/>
      <c r="H67" s="123"/>
      <c r="I67" s="123"/>
      <c r="J67" s="123"/>
      <c r="K67" s="123"/>
      <c r="L67" s="124">
        <v>9</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9</v>
      </c>
      <c r="F70" s="128">
        <f t="shared" si="5"/>
        <v>0</v>
      </c>
      <c r="G70" s="129">
        <f t="shared" si="5"/>
        <v>0</v>
      </c>
      <c r="H70" s="129">
        <f t="shared" si="5"/>
        <v>0</v>
      </c>
      <c r="I70" s="129">
        <f t="shared" si="5"/>
        <v>0</v>
      </c>
      <c r="J70" s="129">
        <f t="shared" si="5"/>
        <v>0</v>
      </c>
      <c r="K70" s="129">
        <f t="shared" si="5"/>
        <v>0</v>
      </c>
      <c r="L70" s="130">
        <f>SUM(L63:L69)</f>
        <v>9</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162</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21</v>
      </c>
      <c r="E78" s="122"/>
      <c r="F78" s="123"/>
      <c r="G78" s="123"/>
      <c r="H78" s="123"/>
      <c r="I78" s="123"/>
      <c r="J78" s="123"/>
      <c r="K78" s="124">
        <v>21</v>
      </c>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21</v>
      </c>
      <c r="E81" s="128">
        <f t="shared" si="6"/>
        <v>0</v>
      </c>
      <c r="F81" s="129">
        <f t="shared" si="6"/>
        <v>0</v>
      </c>
      <c r="G81" s="129">
        <f t="shared" si="6"/>
        <v>0</v>
      </c>
      <c r="H81" s="129">
        <f t="shared" si="6"/>
        <v>0</v>
      </c>
      <c r="I81" s="129">
        <f t="shared" si="6"/>
        <v>0</v>
      </c>
      <c r="J81" s="129">
        <f t="shared" si="6"/>
        <v>0</v>
      </c>
      <c r="K81" s="130">
        <f>SUM(K74:K80)</f>
        <v>21</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393" t="s">
        <v>6</v>
      </c>
      <c r="D94" s="139" t="s">
        <v>51</v>
      </c>
      <c r="E94" s="140"/>
      <c r="F94" s="140"/>
      <c r="G94" s="141"/>
      <c r="H94" s="11"/>
      <c r="I94" s="11"/>
      <c r="J94" s="11"/>
      <c r="K94" s="11"/>
      <c r="O94" s="9"/>
      <c r="P94" s="9"/>
    </row>
    <row r="95" spans="1:17" s="9" customFormat="1" ht="64.5" x14ac:dyDescent="0.25">
      <c r="A95" s="559"/>
      <c r="B95" s="561"/>
      <c r="C95" s="394"/>
      <c r="D95" s="115" t="s">
        <v>52</v>
      </c>
      <c r="E95" s="116" t="s">
        <v>53</v>
      </c>
      <c r="F95" s="116" t="s">
        <v>54</v>
      </c>
      <c r="G95" s="143" t="s">
        <v>14</v>
      </c>
      <c r="H95" s="11"/>
      <c r="I95" s="11"/>
      <c r="J95" s="11"/>
      <c r="K95" s="11"/>
      <c r="L95" s="11"/>
      <c r="M95" s="11"/>
      <c r="N95" s="11"/>
    </row>
    <row r="96" spans="1:17" s="11" customFormat="1" ht="26.25" customHeight="1" x14ac:dyDescent="0.25">
      <c r="A96" s="534" t="s">
        <v>163</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106</v>
      </c>
      <c r="E99" s="34"/>
      <c r="F99" s="34"/>
      <c r="G99" s="144">
        <f t="shared" si="8"/>
        <v>106</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106</v>
      </c>
      <c r="E102" s="52">
        <f>SUM(E95:E101)</f>
        <v>0</v>
      </c>
      <c r="F102" s="52">
        <f>SUM(F95:F101)</f>
        <v>0</v>
      </c>
      <c r="G102" s="145">
        <f>SUM(G95:G101)</f>
        <v>106</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95"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3</v>
      </c>
      <c r="E135" s="34">
        <v>3</v>
      </c>
      <c r="F135" s="34"/>
      <c r="G135" s="203">
        <f t="shared" si="12"/>
        <v>6</v>
      </c>
      <c r="H135" s="101"/>
      <c r="I135" s="37"/>
      <c r="J135" s="34"/>
      <c r="K135" s="34"/>
      <c r="L135" s="34"/>
      <c r="M135" s="34"/>
      <c r="N135" s="34">
        <v>5</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3</v>
      </c>
      <c r="E138" s="52">
        <f>SUM(E131:E137)</f>
        <v>3</v>
      </c>
      <c r="F138" s="52">
        <f>SUM(F131:F137)</f>
        <v>0</v>
      </c>
      <c r="G138" s="205">
        <f t="shared" ref="G138:O138" si="13">SUM(G131:G137)</f>
        <v>6</v>
      </c>
      <c r="H138" s="206">
        <f t="shared" si="13"/>
        <v>0</v>
      </c>
      <c r="I138" s="85">
        <f t="shared" si="13"/>
        <v>0</v>
      </c>
      <c r="J138" s="52">
        <f t="shared" si="13"/>
        <v>0</v>
      </c>
      <c r="K138" s="52">
        <f t="shared" si="13"/>
        <v>0</v>
      </c>
      <c r="L138" s="52">
        <f t="shared" si="13"/>
        <v>0</v>
      </c>
      <c r="M138" s="52">
        <f t="shared" si="13"/>
        <v>0</v>
      </c>
      <c r="N138" s="52">
        <f t="shared" si="13"/>
        <v>5</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178</v>
      </c>
      <c r="E146" s="34">
        <v>151</v>
      </c>
      <c r="F146" s="34"/>
      <c r="G146" s="214">
        <f t="shared" si="14"/>
        <v>329</v>
      </c>
      <c r="H146" s="37"/>
      <c r="I146" s="34"/>
      <c r="J146" s="34"/>
      <c r="K146" s="34"/>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178</v>
      </c>
      <c r="E149" s="52">
        <f t="shared" si="15"/>
        <v>151</v>
      </c>
      <c r="F149" s="52">
        <f t="shared" si="15"/>
        <v>0</v>
      </c>
      <c r="G149" s="54">
        <f t="shared" si="15"/>
        <v>329</v>
      </c>
      <c r="H149" s="85">
        <f t="shared" si="15"/>
        <v>0</v>
      </c>
      <c r="I149" s="52">
        <f t="shared" si="15"/>
        <v>0</v>
      </c>
      <c r="J149" s="52">
        <f t="shared" si="15"/>
        <v>0</v>
      </c>
      <c r="K149" s="52">
        <f t="shared" si="15"/>
        <v>0</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v>2</v>
      </c>
      <c r="E159" s="34">
        <v>61</v>
      </c>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2</v>
      </c>
      <c r="E162" s="52">
        <f>SUM(E155:E160)</f>
        <v>61</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230">
        <f t="shared" si="16"/>
        <v>702344.45</v>
      </c>
      <c r="H166" s="230">
        <f t="shared" si="16"/>
        <v>0</v>
      </c>
      <c r="I166" s="231">
        <f t="shared" si="16"/>
        <v>0</v>
      </c>
    </row>
    <row r="167" spans="1:9" ht="15.75" x14ac:dyDescent="0.25">
      <c r="A167" s="232" t="s">
        <v>111</v>
      </c>
      <c r="B167" s="243"/>
      <c r="C167" s="78"/>
      <c r="D167" s="78"/>
      <c r="E167" s="78"/>
      <c r="F167" s="82"/>
      <c r="G167" s="78">
        <v>630992.44999999995</v>
      </c>
      <c r="H167" s="78"/>
      <c r="I167" s="233"/>
    </row>
    <row r="168" spans="1:9" ht="15.75" x14ac:dyDescent="0.25">
      <c r="A168" s="232" t="s">
        <v>112</v>
      </c>
      <c r="B168" s="243"/>
      <c r="C168" s="78"/>
      <c r="D168" s="78"/>
      <c r="E168" s="78"/>
      <c r="F168" s="82"/>
      <c r="G168" s="78">
        <v>71352</v>
      </c>
      <c r="H168" s="78"/>
      <c r="I168" s="233"/>
    </row>
    <row r="169" spans="1:9" ht="15.75" x14ac:dyDescent="0.25">
      <c r="A169" s="232" t="s">
        <v>113</v>
      </c>
      <c r="B169" s="243"/>
      <c r="C169" s="78"/>
      <c r="D169" s="78"/>
      <c r="E169" s="78"/>
      <c r="F169" s="82"/>
      <c r="G169" s="78"/>
      <c r="H169" s="78"/>
      <c r="I169" s="233"/>
    </row>
    <row r="170" spans="1:9" ht="31.5" x14ac:dyDescent="0.25">
      <c r="A170" s="234" t="s">
        <v>114</v>
      </c>
      <c r="B170" s="243"/>
      <c r="C170" s="78"/>
      <c r="D170" s="78"/>
      <c r="E170" s="78"/>
      <c r="F170" s="82"/>
      <c r="G170" s="82">
        <v>288169.55</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990514</v>
      </c>
      <c r="H171" s="236">
        <f t="shared" si="17"/>
        <v>0</v>
      </c>
      <c r="I171" s="86">
        <f t="shared" si="17"/>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0"/>
  <sheetViews>
    <sheetView topLeftCell="A149"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164</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625" t="s">
        <v>165</v>
      </c>
      <c r="B12" s="535"/>
      <c r="C12" s="32">
        <v>2014</v>
      </c>
      <c r="D12" s="312"/>
      <c r="E12" s="313"/>
      <c r="F12" s="313"/>
      <c r="G12" s="314"/>
      <c r="H12" s="36">
        <f>SUM(D12:G12)</f>
        <v>0</v>
      </c>
      <c r="I12" s="315"/>
      <c r="J12" s="313"/>
      <c r="K12" s="313"/>
      <c r="L12" s="313"/>
      <c r="M12" s="313"/>
      <c r="N12" s="313"/>
      <c r="O12" s="316"/>
      <c r="P12" s="11"/>
      <c r="Q12" s="11"/>
    </row>
    <row r="13" spans="1:17" x14ac:dyDescent="0.25">
      <c r="A13" s="534"/>
      <c r="B13" s="535"/>
      <c r="C13" s="32">
        <v>2015</v>
      </c>
      <c r="D13" s="312"/>
      <c r="E13" s="313"/>
      <c r="F13" s="313"/>
      <c r="G13" s="314"/>
      <c r="H13" s="36">
        <f t="shared" ref="H13:H18" si="0">SUM(D13:G13)</f>
        <v>0</v>
      </c>
      <c r="I13" s="315"/>
      <c r="J13" s="313"/>
      <c r="K13" s="313"/>
      <c r="L13" s="313"/>
      <c r="M13" s="313"/>
      <c r="N13" s="313"/>
      <c r="O13" s="316"/>
      <c r="P13" s="11"/>
      <c r="Q13" s="11"/>
    </row>
    <row r="14" spans="1:17" x14ac:dyDescent="0.25">
      <c r="A14" s="534"/>
      <c r="B14" s="535"/>
      <c r="C14" s="32">
        <v>2016</v>
      </c>
      <c r="D14" s="312"/>
      <c r="E14" s="313"/>
      <c r="F14" s="313"/>
      <c r="G14" s="314"/>
      <c r="H14" s="36">
        <f t="shared" si="0"/>
        <v>0</v>
      </c>
      <c r="I14" s="315"/>
      <c r="J14" s="313"/>
      <c r="K14" s="313"/>
      <c r="L14" s="313"/>
      <c r="M14" s="313"/>
      <c r="N14" s="313"/>
      <c r="O14" s="316"/>
      <c r="P14" s="11"/>
      <c r="Q14" s="11"/>
    </row>
    <row r="15" spans="1:17" ht="29.25" customHeight="1" x14ac:dyDescent="0.25">
      <c r="A15" s="534"/>
      <c r="B15" s="535"/>
      <c r="C15" s="32">
        <v>2017</v>
      </c>
      <c r="D15" s="312"/>
      <c r="E15" s="313"/>
      <c r="F15" s="313"/>
      <c r="G15" s="314"/>
      <c r="H15" s="36">
        <f t="shared" si="0"/>
        <v>0</v>
      </c>
      <c r="I15" s="315"/>
      <c r="J15" s="313"/>
      <c r="K15" s="313"/>
      <c r="L15" s="313"/>
      <c r="M15" s="313"/>
      <c r="N15" s="313"/>
      <c r="O15" s="316"/>
      <c r="P15" s="11"/>
      <c r="Q15" s="11"/>
    </row>
    <row r="16" spans="1:17" ht="318.75" customHeight="1" x14ac:dyDescent="0.25">
      <c r="A16" s="534"/>
      <c r="B16" s="535"/>
      <c r="C16" s="317">
        <v>2018</v>
      </c>
      <c r="D16" s="318">
        <v>49</v>
      </c>
      <c r="E16" s="319">
        <v>1</v>
      </c>
      <c r="F16" s="319">
        <v>0</v>
      </c>
      <c r="G16" s="320">
        <v>10</v>
      </c>
      <c r="H16" s="321">
        <f t="shared" si="0"/>
        <v>60</v>
      </c>
      <c r="I16" s="322">
        <v>4</v>
      </c>
      <c r="J16" s="319">
        <v>6</v>
      </c>
      <c r="K16" s="319">
        <v>3</v>
      </c>
      <c r="L16" s="319">
        <v>0</v>
      </c>
      <c r="M16" s="319">
        <v>3</v>
      </c>
      <c r="N16" s="319">
        <v>34</v>
      </c>
      <c r="O16" s="323">
        <v>10</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273" customHeight="1" thickBot="1" x14ac:dyDescent="0.3">
      <c r="A19" s="536"/>
      <c r="B19" s="537"/>
      <c r="C19" s="50" t="s">
        <v>14</v>
      </c>
      <c r="D19" s="51">
        <f>SUM(D12:D18)</f>
        <v>49</v>
      </c>
      <c r="E19" s="52">
        <f>SUM(E12:E18)</f>
        <v>1</v>
      </c>
      <c r="F19" s="52">
        <f>SUM(F12:F18)</f>
        <v>0</v>
      </c>
      <c r="G19" s="53">
        <v>10</v>
      </c>
      <c r="H19" s="54">
        <v>60</v>
      </c>
      <c r="I19" s="85">
        <f>SUM(I12:I18)</f>
        <v>4</v>
      </c>
      <c r="J19" s="52">
        <v>6</v>
      </c>
      <c r="K19" s="52">
        <f>SUM(K12:K18)</f>
        <v>3</v>
      </c>
      <c r="L19" s="52">
        <f>SUM(L12:L18)</f>
        <v>0</v>
      </c>
      <c r="M19" s="52">
        <f>SUM(M12:M18)</f>
        <v>3</v>
      </c>
      <c r="N19" s="52">
        <f>SUM(N12:N18)</f>
        <v>34</v>
      </c>
      <c r="O19" s="86">
        <f>SUM(O12:O18)</f>
        <v>10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298" t="s">
        <v>23</v>
      </c>
      <c r="C22" s="533"/>
      <c r="D22" s="62" t="s">
        <v>10</v>
      </c>
      <c r="E22" s="63" t="s">
        <v>11</v>
      </c>
      <c r="F22" s="63" t="s">
        <v>12</v>
      </c>
      <c r="G22" s="64" t="s">
        <v>13</v>
      </c>
      <c r="H22" s="25" t="s">
        <v>14</v>
      </c>
    </row>
    <row r="23" spans="1:17" ht="15" customHeight="1" x14ac:dyDescent="0.25">
      <c r="A23" s="534" t="s">
        <v>166</v>
      </c>
      <c r="B23" s="535"/>
      <c r="C23" s="32">
        <v>2014</v>
      </c>
      <c r="D23" s="312"/>
      <c r="E23" s="313"/>
      <c r="F23" s="313"/>
      <c r="G23" s="314"/>
      <c r="H23" s="36">
        <f>SUM(D23:G23)</f>
        <v>0</v>
      </c>
    </row>
    <row r="24" spans="1:17" x14ac:dyDescent="0.25">
      <c r="A24" s="534"/>
      <c r="B24" s="535"/>
      <c r="C24" s="32">
        <v>2015</v>
      </c>
      <c r="D24" s="312"/>
      <c r="E24" s="313"/>
      <c r="F24" s="313"/>
      <c r="G24" s="314"/>
      <c r="H24" s="36">
        <f t="shared" ref="H24:H29" si="1">SUM(D24:G24)</f>
        <v>0</v>
      </c>
    </row>
    <row r="25" spans="1:17" x14ac:dyDescent="0.25">
      <c r="A25" s="534"/>
      <c r="B25" s="535"/>
      <c r="C25" s="32">
        <v>2016</v>
      </c>
      <c r="D25" s="312"/>
      <c r="E25" s="313"/>
      <c r="F25" s="313"/>
      <c r="G25" s="314"/>
      <c r="H25" s="36">
        <f t="shared" si="1"/>
        <v>0</v>
      </c>
    </row>
    <row r="26" spans="1:17" x14ac:dyDescent="0.25">
      <c r="A26" s="534"/>
      <c r="B26" s="535"/>
      <c r="C26" s="32">
        <v>2017</v>
      </c>
      <c r="D26" s="312"/>
      <c r="E26" s="313"/>
      <c r="F26" s="313"/>
      <c r="G26" s="314"/>
      <c r="H26" s="36">
        <f t="shared" si="1"/>
        <v>0</v>
      </c>
    </row>
    <row r="27" spans="1:17" ht="190.5" customHeight="1" x14ac:dyDescent="0.25">
      <c r="A27" s="534"/>
      <c r="B27" s="535"/>
      <c r="C27" s="317">
        <v>2018</v>
      </c>
      <c r="D27" s="324">
        <v>2027</v>
      </c>
      <c r="E27" s="325">
        <v>3000</v>
      </c>
      <c r="F27" s="319">
        <v>0</v>
      </c>
      <c r="G27" s="326">
        <v>107480</v>
      </c>
      <c r="H27" s="321">
        <f t="shared" si="1"/>
        <v>112507</v>
      </c>
    </row>
    <row r="28" spans="1:17" x14ac:dyDescent="0.25">
      <c r="A28" s="534"/>
      <c r="B28" s="535"/>
      <c r="C28" s="32">
        <v>2019</v>
      </c>
      <c r="D28" s="33"/>
      <c r="E28" s="34"/>
      <c r="F28" s="34"/>
      <c r="G28" s="35"/>
      <c r="H28" s="36">
        <f t="shared" si="1"/>
        <v>0</v>
      </c>
    </row>
    <row r="29" spans="1:17" ht="123.75" customHeight="1" x14ac:dyDescent="0.25">
      <c r="A29" s="534"/>
      <c r="B29" s="535"/>
      <c r="C29" s="32">
        <v>2020</v>
      </c>
      <c r="D29" s="33"/>
      <c r="E29" s="34"/>
      <c r="F29" s="34"/>
      <c r="G29" s="35"/>
      <c r="H29" s="36">
        <f t="shared" si="1"/>
        <v>0</v>
      </c>
    </row>
    <row r="30" spans="1:17" ht="402" customHeight="1" thickBot="1" x14ac:dyDescent="0.3">
      <c r="A30" s="536"/>
      <c r="B30" s="537"/>
      <c r="C30" s="50" t="s">
        <v>14</v>
      </c>
      <c r="D30" s="51">
        <f>SUM(D23:D29)</f>
        <v>2027</v>
      </c>
      <c r="E30" s="52">
        <f>SUM(E23:E29)</f>
        <v>3000</v>
      </c>
      <c r="F30" s="52">
        <f>SUM(F23:F29)</f>
        <v>0</v>
      </c>
      <c r="G30" s="52">
        <f>SUM(G23:G29)</f>
        <v>107480</v>
      </c>
      <c r="H30" s="54">
        <f>D30+E30+G30</f>
        <v>112507</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167</v>
      </c>
      <c r="B36" s="541"/>
      <c r="C36" s="32">
        <v>2014</v>
      </c>
      <c r="D36" s="230"/>
      <c r="E36" s="327"/>
      <c r="F36" s="328"/>
      <c r="G36" s="328"/>
      <c r="H36" s="328"/>
      <c r="I36" s="328"/>
      <c r="J36" s="328"/>
      <c r="K36" s="329"/>
    </row>
    <row r="37" spans="1:13" x14ac:dyDescent="0.25">
      <c r="A37" s="540"/>
      <c r="B37" s="541"/>
      <c r="C37" s="32">
        <v>2015</v>
      </c>
      <c r="D37" s="230"/>
      <c r="E37" s="315"/>
      <c r="F37" s="313"/>
      <c r="G37" s="313"/>
      <c r="H37" s="313"/>
      <c r="I37" s="313"/>
      <c r="J37" s="313"/>
      <c r="K37" s="316"/>
    </row>
    <row r="38" spans="1:13" x14ac:dyDescent="0.25">
      <c r="A38" s="540"/>
      <c r="B38" s="541"/>
      <c r="C38" s="32">
        <v>2016</v>
      </c>
      <c r="D38" s="230"/>
      <c r="E38" s="315"/>
      <c r="F38" s="313"/>
      <c r="G38" s="313"/>
      <c r="H38" s="313"/>
      <c r="I38" s="313"/>
      <c r="J38" s="313"/>
      <c r="K38" s="316"/>
    </row>
    <row r="39" spans="1:13" x14ac:dyDescent="0.25">
      <c r="A39" s="540"/>
      <c r="B39" s="541"/>
      <c r="C39" s="32">
        <v>2017</v>
      </c>
      <c r="D39" s="230"/>
      <c r="E39" s="315"/>
      <c r="F39" s="313"/>
      <c r="G39" s="313"/>
      <c r="H39" s="313"/>
      <c r="I39" s="313"/>
      <c r="J39" s="313"/>
      <c r="K39" s="316"/>
    </row>
    <row r="40" spans="1:13" ht="108.75" customHeight="1" x14ac:dyDescent="0.25">
      <c r="A40" s="540"/>
      <c r="B40" s="541"/>
      <c r="C40" s="317">
        <v>2018</v>
      </c>
      <c r="D40" s="250">
        <v>5</v>
      </c>
      <c r="E40" s="322">
        <v>2</v>
      </c>
      <c r="F40" s="319">
        <v>1</v>
      </c>
      <c r="G40" s="319">
        <v>0</v>
      </c>
      <c r="H40" s="319">
        <v>0</v>
      </c>
      <c r="I40" s="319">
        <v>0</v>
      </c>
      <c r="J40" s="319">
        <v>2</v>
      </c>
      <c r="K40" s="323">
        <v>0</v>
      </c>
    </row>
    <row r="41" spans="1:13" x14ac:dyDescent="0.25">
      <c r="A41" s="540"/>
      <c r="B41" s="541"/>
      <c r="C41" s="32">
        <v>2019</v>
      </c>
      <c r="D41" s="78"/>
      <c r="E41" s="37"/>
      <c r="F41" s="34"/>
      <c r="G41" s="34"/>
      <c r="H41" s="34"/>
      <c r="I41" s="34"/>
      <c r="J41" s="34"/>
      <c r="K41" s="38"/>
    </row>
    <row r="42" spans="1:13" ht="0.75" customHeight="1" x14ac:dyDescent="0.25">
      <c r="A42" s="540"/>
      <c r="B42" s="541"/>
      <c r="C42" s="32">
        <v>2020</v>
      </c>
      <c r="D42" s="78"/>
      <c r="E42" s="37"/>
      <c r="F42" s="34"/>
      <c r="G42" s="34"/>
      <c r="H42" s="34"/>
      <c r="I42" s="34"/>
      <c r="J42" s="34"/>
      <c r="K42" s="38"/>
    </row>
    <row r="43" spans="1:13" ht="35.25" hidden="1" customHeight="1" x14ac:dyDescent="0.25">
      <c r="A43" s="542"/>
      <c r="B43" s="543"/>
      <c r="C43" s="50" t="s">
        <v>14</v>
      </c>
      <c r="D43" s="84">
        <f>SUM(D36:D42)</f>
        <v>5</v>
      </c>
      <c r="E43" s="85">
        <f t="shared" ref="E43:J43" si="2">SUM(E36:E42)</f>
        <v>2</v>
      </c>
      <c r="F43" s="52">
        <f t="shared" si="2"/>
        <v>1</v>
      </c>
      <c r="G43" s="52">
        <f t="shared" si="2"/>
        <v>0</v>
      </c>
      <c r="H43" s="52">
        <f t="shared" si="2"/>
        <v>0</v>
      </c>
      <c r="I43" s="52">
        <f t="shared" si="2"/>
        <v>0</v>
      </c>
      <c r="J43" s="52">
        <f t="shared" si="2"/>
        <v>2</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168</v>
      </c>
      <c r="B50" s="535"/>
      <c r="C50" s="32">
        <v>2014</v>
      </c>
      <c r="D50" s="330"/>
      <c r="E50" s="315"/>
      <c r="F50" s="313"/>
      <c r="G50" s="313"/>
      <c r="H50" s="313"/>
      <c r="I50" s="313"/>
      <c r="J50" s="313"/>
      <c r="K50" s="316"/>
    </row>
    <row r="51" spans="1:16" x14ac:dyDescent="0.25">
      <c r="A51" s="534"/>
      <c r="B51" s="535"/>
      <c r="C51" s="32">
        <v>2015</v>
      </c>
      <c r="D51" s="330"/>
      <c r="E51" s="315"/>
      <c r="F51" s="313"/>
      <c r="G51" s="313"/>
      <c r="H51" s="313"/>
      <c r="I51" s="313"/>
      <c r="J51" s="313"/>
      <c r="K51" s="316"/>
    </row>
    <row r="52" spans="1:16" x14ac:dyDescent="0.25">
      <c r="A52" s="534"/>
      <c r="B52" s="535"/>
      <c r="C52" s="32">
        <v>2016</v>
      </c>
      <c r="D52" s="330"/>
      <c r="E52" s="315"/>
      <c r="F52" s="313"/>
      <c r="G52" s="313"/>
      <c r="H52" s="313"/>
      <c r="I52" s="313"/>
      <c r="J52" s="313"/>
      <c r="K52" s="316"/>
    </row>
    <row r="53" spans="1:16" x14ac:dyDescent="0.25">
      <c r="A53" s="534"/>
      <c r="B53" s="535"/>
      <c r="C53" s="32">
        <v>2017</v>
      </c>
      <c r="D53" s="330"/>
      <c r="E53" s="315"/>
      <c r="F53" s="313"/>
      <c r="G53" s="313"/>
      <c r="H53" s="313"/>
      <c r="I53" s="313"/>
      <c r="J53" s="313"/>
      <c r="K53" s="316"/>
    </row>
    <row r="54" spans="1:16" x14ac:dyDescent="0.25">
      <c r="A54" s="534"/>
      <c r="B54" s="535"/>
      <c r="C54" s="32">
        <v>2018</v>
      </c>
      <c r="D54" s="101">
        <v>3</v>
      </c>
      <c r="E54" s="37">
        <v>1</v>
      </c>
      <c r="F54" s="34">
        <v>0</v>
      </c>
      <c r="G54" s="34">
        <v>0</v>
      </c>
      <c r="H54" s="34">
        <v>0</v>
      </c>
      <c r="I54" s="34">
        <v>0</v>
      </c>
      <c r="J54" s="34">
        <v>2</v>
      </c>
      <c r="K54" s="38">
        <v>0</v>
      </c>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3">SUM(D50:D56)</f>
        <v>3</v>
      </c>
      <c r="E57" s="85">
        <f t="shared" si="3"/>
        <v>1</v>
      </c>
      <c r="F57" s="52">
        <f t="shared" si="3"/>
        <v>0</v>
      </c>
      <c r="G57" s="52">
        <f t="shared" si="3"/>
        <v>0</v>
      </c>
      <c r="H57" s="52">
        <f t="shared" si="3"/>
        <v>0</v>
      </c>
      <c r="I57" s="52">
        <f t="shared" si="3"/>
        <v>0</v>
      </c>
      <c r="J57" s="52">
        <f>SUM(J50:J56)</f>
        <v>2</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169</v>
      </c>
      <c r="B63" s="535"/>
      <c r="C63" s="32">
        <v>2014</v>
      </c>
      <c r="D63" s="312"/>
      <c r="E63" s="313"/>
      <c r="F63" s="331"/>
      <c r="G63" s="332"/>
      <c r="H63" s="332"/>
      <c r="I63" s="332"/>
      <c r="J63" s="332"/>
      <c r="K63" s="332"/>
      <c r="L63" s="187"/>
      <c r="M63" s="11"/>
    </row>
    <row r="64" spans="1:16" x14ac:dyDescent="0.25">
      <c r="A64" s="534"/>
      <c r="B64" s="535"/>
      <c r="C64" s="32">
        <v>2015</v>
      </c>
      <c r="D64" s="312"/>
      <c r="E64" s="313"/>
      <c r="F64" s="331"/>
      <c r="G64" s="332"/>
      <c r="H64" s="332"/>
      <c r="I64" s="332"/>
      <c r="J64" s="332"/>
      <c r="K64" s="332"/>
      <c r="L64" s="187"/>
      <c r="M64" s="11"/>
    </row>
    <row r="65" spans="1:15" x14ac:dyDescent="0.25">
      <c r="A65" s="534"/>
      <c r="B65" s="535"/>
      <c r="C65" s="32">
        <v>2016</v>
      </c>
      <c r="D65" s="312"/>
      <c r="E65" s="313"/>
      <c r="F65" s="331"/>
      <c r="G65" s="332"/>
      <c r="H65" s="332"/>
      <c r="I65" s="332"/>
      <c r="J65" s="332"/>
      <c r="K65" s="332"/>
      <c r="L65" s="187"/>
      <c r="M65" s="11"/>
    </row>
    <row r="66" spans="1:15" x14ac:dyDescent="0.25">
      <c r="A66" s="534"/>
      <c r="B66" s="535"/>
      <c r="C66" s="32">
        <v>2017</v>
      </c>
      <c r="D66" s="312"/>
      <c r="E66" s="313"/>
      <c r="F66" s="331"/>
      <c r="G66" s="332"/>
      <c r="H66" s="332"/>
      <c r="I66" s="332"/>
      <c r="J66" s="332"/>
      <c r="K66" s="332"/>
      <c r="L66" s="187"/>
      <c r="M66" s="11"/>
    </row>
    <row r="67" spans="1:15" x14ac:dyDescent="0.25">
      <c r="A67" s="534"/>
      <c r="B67" s="535"/>
      <c r="C67" s="32">
        <v>2018</v>
      </c>
      <c r="D67" s="33">
        <v>2</v>
      </c>
      <c r="E67" s="34">
        <v>6</v>
      </c>
      <c r="F67" s="122">
        <v>0</v>
      </c>
      <c r="G67" s="123">
        <v>0</v>
      </c>
      <c r="H67" s="123">
        <v>1</v>
      </c>
      <c r="I67" s="123">
        <v>0</v>
      </c>
      <c r="J67" s="123">
        <v>0</v>
      </c>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4">SUM(D63:D69)</f>
        <v>2</v>
      </c>
      <c r="E70" s="52">
        <f t="shared" si="4"/>
        <v>6</v>
      </c>
      <c r="F70" s="128">
        <f t="shared" si="4"/>
        <v>0</v>
      </c>
      <c r="G70" s="129">
        <f t="shared" si="4"/>
        <v>0</v>
      </c>
      <c r="H70" s="129">
        <f t="shared" si="4"/>
        <v>1</v>
      </c>
      <c r="I70" s="129">
        <f t="shared" si="4"/>
        <v>0</v>
      </c>
      <c r="J70" s="129">
        <f t="shared" si="4"/>
        <v>0</v>
      </c>
      <c r="K70" s="129">
        <f t="shared" si="4"/>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170</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5">SUM(D74:D80)</f>
        <v>0</v>
      </c>
      <c r="E81" s="128">
        <f t="shared" si="5"/>
        <v>0</v>
      </c>
      <c r="F81" s="129">
        <f t="shared" si="5"/>
        <v>0</v>
      </c>
      <c r="G81" s="129">
        <f t="shared" si="5"/>
        <v>0</v>
      </c>
      <c r="H81" s="129">
        <f t="shared" si="5"/>
        <v>0</v>
      </c>
      <c r="I81" s="129">
        <f t="shared" si="5"/>
        <v>0</v>
      </c>
      <c r="J81" s="129">
        <f t="shared" si="5"/>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170</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6">SUM(D85:D91)</f>
        <v>0</v>
      </c>
      <c r="E92" s="128">
        <f t="shared" si="6"/>
        <v>0</v>
      </c>
      <c r="F92" s="129">
        <f t="shared" si="6"/>
        <v>0</v>
      </c>
      <c r="G92" s="129">
        <f t="shared" si="6"/>
        <v>0</v>
      </c>
      <c r="H92" s="129">
        <f t="shared" si="6"/>
        <v>0</v>
      </c>
      <c r="I92" s="129">
        <f t="shared" si="6"/>
        <v>0</v>
      </c>
      <c r="J92" s="129">
        <f t="shared" si="6"/>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299" t="s">
        <v>6</v>
      </c>
      <c r="D94" s="139" t="s">
        <v>51</v>
      </c>
      <c r="E94" s="140"/>
      <c r="F94" s="140"/>
      <c r="G94" s="141"/>
      <c r="H94" s="11"/>
      <c r="I94" s="11"/>
      <c r="J94" s="11"/>
      <c r="K94" s="11"/>
      <c r="O94" s="9"/>
      <c r="P94" s="9"/>
    </row>
    <row r="95" spans="1:17" s="9" customFormat="1" ht="64.5" x14ac:dyDescent="0.25">
      <c r="A95" s="559"/>
      <c r="B95" s="561"/>
      <c r="C95" s="300"/>
      <c r="D95" s="115" t="s">
        <v>52</v>
      </c>
      <c r="E95" s="116" t="s">
        <v>53</v>
      </c>
      <c r="F95" s="116" t="s">
        <v>54</v>
      </c>
      <c r="G95" s="143" t="s">
        <v>14</v>
      </c>
      <c r="H95" s="11"/>
      <c r="I95" s="11"/>
      <c r="J95" s="11"/>
      <c r="K95" s="11"/>
      <c r="L95" s="11"/>
      <c r="M95" s="11"/>
      <c r="N95" s="11"/>
    </row>
    <row r="96" spans="1:17" s="11" customFormat="1" ht="26.25" customHeight="1" x14ac:dyDescent="0.25">
      <c r="A96" s="534"/>
      <c r="B96" s="535"/>
      <c r="C96" s="32">
        <v>2015</v>
      </c>
      <c r="D96" s="312"/>
      <c r="E96" s="313"/>
      <c r="F96" s="313"/>
      <c r="G96" s="144">
        <f t="shared" ref="G96:G101" si="7">SUM(D96:F96)</f>
        <v>0</v>
      </c>
      <c r="H96"/>
      <c r="I96"/>
      <c r="J96"/>
      <c r="K96"/>
    </row>
    <row r="97" spans="1:16" s="11" customFormat="1" ht="16.5" customHeight="1" x14ac:dyDescent="0.25">
      <c r="A97" s="534"/>
      <c r="B97" s="535"/>
      <c r="C97" s="32">
        <v>2016</v>
      </c>
      <c r="D97" s="312"/>
      <c r="E97" s="313"/>
      <c r="F97" s="313"/>
      <c r="G97" s="144">
        <f t="shared" si="7"/>
        <v>0</v>
      </c>
      <c r="H97"/>
      <c r="I97"/>
      <c r="J97"/>
      <c r="K97"/>
      <c r="L97"/>
      <c r="M97"/>
      <c r="N97"/>
    </row>
    <row r="98" spans="1:16" x14ac:dyDescent="0.25">
      <c r="A98" s="534"/>
      <c r="B98" s="535"/>
      <c r="C98" s="32">
        <v>2017</v>
      </c>
      <c r="D98" s="312"/>
      <c r="E98" s="313"/>
      <c r="F98" s="313"/>
      <c r="G98" s="144">
        <f t="shared" si="7"/>
        <v>0</v>
      </c>
    </row>
    <row r="99" spans="1:16" x14ac:dyDescent="0.25">
      <c r="A99" s="534"/>
      <c r="B99" s="535"/>
      <c r="C99" s="32">
        <v>2018</v>
      </c>
      <c r="D99" s="33">
        <v>250</v>
      </c>
      <c r="E99" s="34"/>
      <c r="F99" s="34"/>
      <c r="G99" s="144">
        <f t="shared" si="7"/>
        <v>250</v>
      </c>
    </row>
    <row r="100" spans="1:16" x14ac:dyDescent="0.25">
      <c r="A100" s="534"/>
      <c r="B100" s="535"/>
      <c r="C100" s="32">
        <v>2019</v>
      </c>
      <c r="D100" s="33"/>
      <c r="E100" s="34"/>
      <c r="F100" s="34"/>
      <c r="G100" s="144">
        <f t="shared" si="7"/>
        <v>0</v>
      </c>
    </row>
    <row r="101" spans="1:16" x14ac:dyDescent="0.25">
      <c r="A101" s="534"/>
      <c r="B101" s="535"/>
      <c r="C101" s="32">
        <v>2020</v>
      </c>
      <c r="D101" s="33"/>
      <c r="E101" s="34"/>
      <c r="F101" s="34"/>
      <c r="G101" s="144">
        <f t="shared" si="7"/>
        <v>0</v>
      </c>
    </row>
    <row r="102" spans="1:16" ht="15.75" thickBot="1" x14ac:dyDescent="0.3">
      <c r="A102" s="536"/>
      <c r="B102" s="537"/>
      <c r="C102" s="50" t="s">
        <v>14</v>
      </c>
      <c r="D102" s="51">
        <f>SUM(D95:D101)</f>
        <v>250</v>
      </c>
      <c r="E102" s="52">
        <f>SUM(E95:E101)</f>
        <v>0</v>
      </c>
      <c r="F102" s="52">
        <f>SUM(F95:F101)</f>
        <v>0</v>
      </c>
      <c r="G102" s="145">
        <f>SUM(G95:G101)</f>
        <v>250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171</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8">SUM(D109:F109)</f>
        <v>0</v>
      </c>
      <c r="H109" s="164"/>
      <c r="I109" s="123"/>
      <c r="J109" s="124"/>
    </row>
    <row r="110" spans="1:16" x14ac:dyDescent="0.25">
      <c r="A110" s="534"/>
      <c r="B110" s="535"/>
      <c r="C110" s="163">
        <v>2016</v>
      </c>
      <c r="D110" s="164"/>
      <c r="E110" s="123"/>
      <c r="F110" s="165"/>
      <c r="G110" s="166">
        <f t="shared" si="8"/>
        <v>0</v>
      </c>
      <c r="H110" s="164"/>
      <c r="I110" s="123"/>
      <c r="J110" s="124"/>
    </row>
    <row r="111" spans="1:16" x14ac:dyDescent="0.25">
      <c r="A111" s="534"/>
      <c r="B111" s="535"/>
      <c r="C111" s="163">
        <v>2017</v>
      </c>
      <c r="D111" s="167"/>
      <c r="E111" s="126"/>
      <c r="F111" s="168"/>
      <c r="G111" s="166">
        <f t="shared" si="8"/>
        <v>0</v>
      </c>
      <c r="H111" s="169"/>
      <c r="I111" s="170"/>
      <c r="J111" s="171"/>
    </row>
    <row r="112" spans="1:16" x14ac:dyDescent="0.25">
      <c r="A112" s="534"/>
      <c r="B112" s="535"/>
      <c r="C112" s="163">
        <v>2018</v>
      </c>
      <c r="D112" s="164"/>
      <c r="E112" s="123"/>
      <c r="F112" s="165"/>
      <c r="G112" s="166">
        <f t="shared" si="8"/>
        <v>0</v>
      </c>
      <c r="H112" s="164"/>
      <c r="I112" s="123"/>
      <c r="J112" s="124"/>
    </row>
    <row r="113" spans="1:19" x14ac:dyDescent="0.25">
      <c r="A113" s="534"/>
      <c r="B113" s="535"/>
      <c r="C113" s="163">
        <v>2019</v>
      </c>
      <c r="D113" s="164"/>
      <c r="E113" s="123"/>
      <c r="F113" s="165"/>
      <c r="G113" s="166">
        <f t="shared" si="8"/>
        <v>0</v>
      </c>
      <c r="H113" s="164"/>
      <c r="I113" s="123"/>
      <c r="J113" s="124"/>
    </row>
    <row r="114" spans="1:19" x14ac:dyDescent="0.25">
      <c r="A114" s="534"/>
      <c r="B114" s="535"/>
      <c r="C114" s="163">
        <v>2020</v>
      </c>
      <c r="D114" s="164"/>
      <c r="E114" s="123"/>
      <c r="F114" s="165"/>
      <c r="G114" s="166">
        <f t="shared" si="8"/>
        <v>0</v>
      </c>
      <c r="H114" s="164"/>
      <c r="I114" s="123"/>
      <c r="J114" s="124"/>
    </row>
    <row r="115" spans="1:19" ht="30.6" customHeight="1" thickBot="1" x14ac:dyDescent="0.3">
      <c r="A115" s="536"/>
      <c r="B115" s="537"/>
      <c r="C115" s="172" t="s">
        <v>14</v>
      </c>
      <c r="D115" s="173">
        <f t="shared" ref="D115:J115" si="9">SUM(D108:D114)</f>
        <v>0</v>
      </c>
      <c r="E115" s="129">
        <f t="shared" si="9"/>
        <v>0</v>
      </c>
      <c r="F115" s="174">
        <f t="shared" si="9"/>
        <v>0</v>
      </c>
      <c r="G115" s="174">
        <f t="shared" si="9"/>
        <v>0</v>
      </c>
      <c r="H115" s="173">
        <f t="shared" si="9"/>
        <v>0</v>
      </c>
      <c r="I115" s="129">
        <f t="shared" si="9"/>
        <v>0</v>
      </c>
      <c r="J115" s="175">
        <f t="shared" si="9"/>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01" t="s">
        <v>38</v>
      </c>
      <c r="C117" s="182" t="s">
        <v>6</v>
      </c>
      <c r="D117" s="183" t="s">
        <v>68</v>
      </c>
      <c r="E117" s="184" t="s">
        <v>69</v>
      </c>
      <c r="F117" s="184" t="s">
        <v>70</v>
      </c>
      <c r="G117" s="184" t="s">
        <v>71</v>
      </c>
      <c r="H117" s="184" t="s">
        <v>72</v>
      </c>
      <c r="I117" s="185" t="s">
        <v>73</v>
      </c>
      <c r="J117" s="186" t="s">
        <v>74</v>
      </c>
      <c r="K117" s="186" t="s">
        <v>75</v>
      </c>
    </row>
    <row r="118" spans="1:19" x14ac:dyDescent="0.25">
      <c r="A118" s="534" t="s">
        <v>171</v>
      </c>
      <c r="B118" s="535"/>
      <c r="C118" s="32">
        <v>2014</v>
      </c>
      <c r="D118" s="122"/>
      <c r="E118" s="123"/>
      <c r="F118" s="123"/>
      <c r="G118" s="123"/>
      <c r="H118" s="123"/>
      <c r="I118" s="124"/>
      <c r="J118" s="187">
        <f t="shared" ref="J118:K124" si="10">D118+F118+H118</f>
        <v>0</v>
      </c>
      <c r="K118" s="187">
        <f t="shared" si="10"/>
        <v>0</v>
      </c>
    </row>
    <row r="119" spans="1:19" x14ac:dyDescent="0.25">
      <c r="A119" s="534"/>
      <c r="B119" s="535"/>
      <c r="C119" s="32">
        <v>2015</v>
      </c>
      <c r="D119" s="122"/>
      <c r="E119" s="123"/>
      <c r="F119" s="123"/>
      <c r="G119" s="123"/>
      <c r="H119" s="123"/>
      <c r="I119" s="124"/>
      <c r="J119" s="187">
        <f t="shared" si="10"/>
        <v>0</v>
      </c>
      <c r="K119" s="187">
        <f t="shared" si="10"/>
        <v>0</v>
      </c>
    </row>
    <row r="120" spans="1:19" x14ac:dyDescent="0.25">
      <c r="A120" s="534"/>
      <c r="B120" s="535"/>
      <c r="C120" s="32">
        <v>2016</v>
      </c>
      <c r="D120" s="122"/>
      <c r="E120" s="123"/>
      <c r="F120" s="123"/>
      <c r="G120" s="123"/>
      <c r="H120" s="123"/>
      <c r="I120" s="124"/>
      <c r="J120" s="187">
        <f t="shared" si="10"/>
        <v>0</v>
      </c>
      <c r="K120" s="187">
        <f t="shared" si="10"/>
        <v>0</v>
      </c>
    </row>
    <row r="121" spans="1:19" x14ac:dyDescent="0.25">
      <c r="A121" s="534"/>
      <c r="B121" s="535"/>
      <c r="C121" s="32">
        <v>2017</v>
      </c>
      <c r="D121" s="125"/>
      <c r="E121" s="126"/>
      <c r="F121" s="126"/>
      <c r="G121" s="126"/>
      <c r="H121" s="126"/>
      <c r="I121" s="127"/>
      <c r="J121" s="187">
        <f t="shared" si="10"/>
        <v>0</v>
      </c>
      <c r="K121" s="187">
        <f t="shared" si="10"/>
        <v>0</v>
      </c>
    </row>
    <row r="122" spans="1:19" x14ac:dyDescent="0.25">
      <c r="A122" s="534"/>
      <c r="B122" s="535"/>
      <c r="C122" s="32">
        <v>2018</v>
      </c>
      <c r="D122" s="122"/>
      <c r="E122" s="123"/>
      <c r="F122" s="123"/>
      <c r="G122" s="123"/>
      <c r="H122" s="123"/>
      <c r="I122" s="124"/>
      <c r="J122" s="187">
        <f t="shared" si="10"/>
        <v>0</v>
      </c>
      <c r="K122" s="187">
        <f t="shared" si="10"/>
        <v>0</v>
      </c>
    </row>
    <row r="123" spans="1:19" x14ac:dyDescent="0.25">
      <c r="A123" s="534"/>
      <c r="B123" s="535"/>
      <c r="C123" s="32">
        <v>2019</v>
      </c>
      <c r="D123" s="122"/>
      <c r="E123" s="123"/>
      <c r="F123" s="123"/>
      <c r="G123" s="123"/>
      <c r="H123" s="123"/>
      <c r="I123" s="124"/>
      <c r="J123" s="187">
        <f t="shared" si="10"/>
        <v>0</v>
      </c>
      <c r="K123" s="187">
        <f t="shared" si="10"/>
        <v>0</v>
      </c>
    </row>
    <row r="124" spans="1:19" x14ac:dyDescent="0.25">
      <c r="A124" s="534"/>
      <c r="B124" s="535"/>
      <c r="C124" s="32">
        <v>2020</v>
      </c>
      <c r="D124" s="122"/>
      <c r="E124" s="123"/>
      <c r="F124" s="123"/>
      <c r="G124" s="123"/>
      <c r="H124" s="123"/>
      <c r="I124" s="124"/>
      <c r="J124" s="187">
        <f t="shared" si="10"/>
        <v>0</v>
      </c>
      <c r="K124" s="187">
        <f t="shared" si="10"/>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34" t="s">
        <v>172</v>
      </c>
      <c r="B131" s="590"/>
      <c r="C131" s="32">
        <v>2014</v>
      </c>
      <c r="D131" s="312"/>
      <c r="E131" s="313"/>
      <c r="F131" s="313"/>
      <c r="G131" s="203">
        <f t="shared" ref="G131:G137" si="11">SUM(D131:E131)</f>
        <v>0</v>
      </c>
      <c r="H131" s="330"/>
      <c r="I131" s="315"/>
      <c r="J131" s="313"/>
      <c r="K131" s="313"/>
      <c r="L131" s="313"/>
      <c r="M131" s="313"/>
      <c r="N131" s="313"/>
      <c r="O131" s="316"/>
    </row>
    <row r="132" spans="1:15" x14ac:dyDescent="0.25">
      <c r="A132" s="589"/>
      <c r="B132" s="590"/>
      <c r="C132" s="32">
        <v>2015</v>
      </c>
      <c r="D132" s="312"/>
      <c r="E132" s="313"/>
      <c r="F132" s="313"/>
      <c r="G132" s="203">
        <f t="shared" si="11"/>
        <v>0</v>
      </c>
      <c r="H132" s="330"/>
      <c r="I132" s="315"/>
      <c r="J132" s="313"/>
      <c r="K132" s="313"/>
      <c r="L132" s="313"/>
      <c r="M132" s="313"/>
      <c r="N132" s="313"/>
      <c r="O132" s="316"/>
    </row>
    <row r="133" spans="1:15" x14ac:dyDescent="0.25">
      <c r="A133" s="589"/>
      <c r="B133" s="590"/>
      <c r="C133" s="32">
        <v>2016</v>
      </c>
      <c r="D133" s="312"/>
      <c r="E133" s="313"/>
      <c r="F133" s="313"/>
      <c r="G133" s="203">
        <f t="shared" si="11"/>
        <v>0</v>
      </c>
      <c r="H133" s="330"/>
      <c r="I133" s="315"/>
      <c r="J133" s="313"/>
      <c r="K133" s="313"/>
      <c r="L133" s="313"/>
      <c r="M133" s="313"/>
      <c r="N133" s="313"/>
      <c r="O133" s="316"/>
    </row>
    <row r="134" spans="1:15" x14ac:dyDescent="0.25">
      <c r="A134" s="589"/>
      <c r="B134" s="590"/>
      <c r="C134" s="32">
        <v>2017</v>
      </c>
      <c r="D134" s="312"/>
      <c r="E134" s="313"/>
      <c r="F134" s="313"/>
      <c r="G134" s="203">
        <f t="shared" si="11"/>
        <v>0</v>
      </c>
      <c r="H134" s="330"/>
      <c r="I134" s="315"/>
      <c r="J134" s="313"/>
      <c r="K134" s="313"/>
      <c r="L134" s="313"/>
      <c r="M134" s="313"/>
      <c r="N134" s="313"/>
      <c r="O134" s="316"/>
    </row>
    <row r="135" spans="1:15" ht="240.75" customHeight="1" x14ac:dyDescent="0.25">
      <c r="A135" s="589"/>
      <c r="B135" s="590"/>
      <c r="C135" s="317">
        <v>2018</v>
      </c>
      <c r="D135" s="318">
        <v>36</v>
      </c>
      <c r="E135" s="319">
        <v>6</v>
      </c>
      <c r="F135" s="319">
        <v>6</v>
      </c>
      <c r="G135" s="333">
        <f>SUM(D135:E135:F135)</f>
        <v>48</v>
      </c>
      <c r="H135" s="334">
        <v>131</v>
      </c>
      <c r="I135" s="322">
        <v>3</v>
      </c>
      <c r="J135" s="319">
        <v>5</v>
      </c>
      <c r="K135" s="319">
        <v>1</v>
      </c>
      <c r="L135" s="319">
        <v>0</v>
      </c>
      <c r="M135" s="319">
        <v>3</v>
      </c>
      <c r="N135" s="319">
        <v>30</v>
      </c>
      <c r="O135" s="323">
        <v>6</v>
      </c>
    </row>
    <row r="136" spans="1:15" x14ac:dyDescent="0.25">
      <c r="A136" s="589"/>
      <c r="B136" s="590"/>
      <c r="C136" s="32">
        <v>2019</v>
      </c>
      <c r="D136" s="33"/>
      <c r="E136" s="34"/>
      <c r="F136" s="34"/>
      <c r="G136" s="203">
        <f t="shared" si="11"/>
        <v>0</v>
      </c>
      <c r="H136" s="101"/>
      <c r="I136" s="37"/>
      <c r="J136" s="34"/>
      <c r="K136" s="34"/>
      <c r="L136" s="34"/>
      <c r="M136" s="34"/>
      <c r="N136" s="34"/>
      <c r="O136" s="38"/>
    </row>
    <row r="137" spans="1:15" x14ac:dyDescent="0.25">
      <c r="A137" s="589"/>
      <c r="B137" s="590"/>
      <c r="C137" s="32">
        <v>2020</v>
      </c>
      <c r="D137" s="33"/>
      <c r="E137" s="34"/>
      <c r="F137" s="34"/>
      <c r="G137" s="203">
        <f t="shared" si="11"/>
        <v>0</v>
      </c>
      <c r="H137" s="101"/>
      <c r="I137" s="37"/>
      <c r="J137" s="34"/>
      <c r="K137" s="34"/>
      <c r="L137" s="34"/>
      <c r="M137" s="34"/>
      <c r="N137" s="34"/>
      <c r="O137" s="38"/>
    </row>
    <row r="138" spans="1:15" ht="242.25" customHeight="1" thickBot="1" x14ac:dyDescent="0.3">
      <c r="A138" s="591"/>
      <c r="B138" s="592"/>
      <c r="C138" s="50" t="s">
        <v>14</v>
      </c>
      <c r="D138" s="51">
        <f>SUM(D131:D137)</f>
        <v>36</v>
      </c>
      <c r="E138" s="52">
        <f>SUM(E131:E137)</f>
        <v>6</v>
      </c>
      <c r="F138" s="52">
        <f>SUM(F131:F137)</f>
        <v>6</v>
      </c>
      <c r="G138" s="205">
        <f t="shared" ref="G138:O138" si="12">SUM(G131:G137)</f>
        <v>48</v>
      </c>
      <c r="H138" s="206">
        <f t="shared" si="12"/>
        <v>131</v>
      </c>
      <c r="I138" s="85">
        <f t="shared" si="12"/>
        <v>3</v>
      </c>
      <c r="J138" s="52">
        <f t="shared" si="12"/>
        <v>5</v>
      </c>
      <c r="K138" s="52">
        <f t="shared" si="12"/>
        <v>1</v>
      </c>
      <c r="L138" s="52">
        <f t="shared" si="12"/>
        <v>0</v>
      </c>
      <c r="M138" s="52">
        <f t="shared" si="12"/>
        <v>3</v>
      </c>
      <c r="N138" s="52">
        <f t="shared" si="12"/>
        <v>30</v>
      </c>
      <c r="O138" s="86">
        <f t="shared" si="12"/>
        <v>6</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34" t="s">
        <v>173</v>
      </c>
      <c r="B142" s="590"/>
      <c r="C142" s="212">
        <v>2014</v>
      </c>
      <c r="D142" s="335"/>
      <c r="E142" s="328"/>
      <c r="F142" s="328"/>
      <c r="G142" s="214">
        <f>SUM(D142:F142)</f>
        <v>0</v>
      </c>
      <c r="H142" s="327"/>
      <c r="I142" s="328"/>
      <c r="J142" s="328"/>
      <c r="K142" s="328"/>
      <c r="L142" s="329"/>
    </row>
    <row r="143" spans="1:15" x14ac:dyDescent="0.25">
      <c r="A143" s="589"/>
      <c r="B143" s="590"/>
      <c r="C143" s="32">
        <v>2015</v>
      </c>
      <c r="D143" s="312"/>
      <c r="E143" s="313"/>
      <c r="F143" s="313"/>
      <c r="G143" s="214">
        <f t="shared" ref="G143:G148" si="13">SUM(D143:F143)</f>
        <v>0</v>
      </c>
      <c r="H143" s="315"/>
      <c r="I143" s="313"/>
      <c r="J143" s="313"/>
      <c r="K143" s="313"/>
      <c r="L143" s="316"/>
    </row>
    <row r="144" spans="1:15" x14ac:dyDescent="0.25">
      <c r="A144" s="589"/>
      <c r="B144" s="590"/>
      <c r="C144" s="32">
        <v>2016</v>
      </c>
      <c r="D144" s="312"/>
      <c r="E144" s="313"/>
      <c r="F144" s="313"/>
      <c r="G144" s="214">
        <f t="shared" si="13"/>
        <v>0</v>
      </c>
      <c r="H144" s="315"/>
      <c r="I144" s="313"/>
      <c r="J144" s="313"/>
      <c r="K144" s="313"/>
      <c r="L144" s="316"/>
    </row>
    <row r="145" spans="1:15" x14ac:dyDescent="0.25">
      <c r="A145" s="589"/>
      <c r="B145" s="590"/>
      <c r="C145" s="32">
        <v>2017</v>
      </c>
      <c r="D145" s="312"/>
      <c r="E145" s="313"/>
      <c r="F145" s="313"/>
      <c r="G145" s="214">
        <f t="shared" si="13"/>
        <v>0</v>
      </c>
      <c r="H145" s="315"/>
      <c r="I145" s="313"/>
      <c r="J145" s="313"/>
      <c r="K145" s="313"/>
      <c r="L145" s="316"/>
    </row>
    <row r="146" spans="1:15" ht="327" customHeight="1" x14ac:dyDescent="0.25">
      <c r="A146" s="589"/>
      <c r="B146" s="590"/>
      <c r="C146" s="317">
        <v>2018</v>
      </c>
      <c r="D146" s="318">
        <v>1471</v>
      </c>
      <c r="E146" s="319">
        <v>133</v>
      </c>
      <c r="F146" s="319">
        <v>173</v>
      </c>
      <c r="G146" s="336">
        <f t="shared" si="13"/>
        <v>1777</v>
      </c>
      <c r="H146" s="322">
        <v>10</v>
      </c>
      <c r="I146" s="319">
        <v>274</v>
      </c>
      <c r="J146" s="319">
        <v>16</v>
      </c>
      <c r="K146" s="319">
        <v>27</v>
      </c>
      <c r="L146" s="323">
        <v>1450</v>
      </c>
    </row>
    <row r="147" spans="1:15" x14ac:dyDescent="0.25">
      <c r="A147" s="589"/>
      <c r="B147" s="590"/>
      <c r="C147" s="32">
        <v>2019</v>
      </c>
      <c r="D147" s="33"/>
      <c r="E147" s="34"/>
      <c r="F147" s="34"/>
      <c r="G147" s="214">
        <f t="shared" si="13"/>
        <v>0</v>
      </c>
      <c r="H147" s="37"/>
      <c r="I147" s="34"/>
      <c r="J147" s="34"/>
      <c r="K147" s="34"/>
      <c r="L147" s="38"/>
    </row>
    <row r="148" spans="1:15" x14ac:dyDescent="0.25">
      <c r="A148" s="589"/>
      <c r="B148" s="590"/>
      <c r="C148" s="32">
        <v>2020</v>
      </c>
      <c r="D148" s="33"/>
      <c r="E148" s="34"/>
      <c r="F148" s="34"/>
      <c r="G148" s="214">
        <f t="shared" si="13"/>
        <v>0</v>
      </c>
      <c r="H148" s="37"/>
      <c r="I148" s="34"/>
      <c r="J148" s="34"/>
      <c r="K148" s="34"/>
      <c r="L148" s="38"/>
    </row>
    <row r="149" spans="1:15" ht="264.75" customHeight="1" thickBot="1" x14ac:dyDescent="0.3">
      <c r="A149" s="591"/>
      <c r="B149" s="592"/>
      <c r="C149" s="50" t="s">
        <v>14</v>
      </c>
      <c r="D149" s="51">
        <f t="shared" ref="D149:L149" si="14">SUM(D142:D148)</f>
        <v>1471</v>
      </c>
      <c r="E149" s="52">
        <f t="shared" si="14"/>
        <v>133</v>
      </c>
      <c r="F149" s="52">
        <f t="shared" si="14"/>
        <v>173</v>
      </c>
      <c r="G149" s="54">
        <f t="shared" si="14"/>
        <v>1777</v>
      </c>
      <c r="H149" s="85">
        <f t="shared" si="14"/>
        <v>10</v>
      </c>
      <c r="I149" s="52">
        <f t="shared" si="14"/>
        <v>274</v>
      </c>
      <c r="J149" s="52">
        <f t="shared" si="14"/>
        <v>16</v>
      </c>
      <c r="K149" s="52">
        <f t="shared" si="14"/>
        <v>27</v>
      </c>
      <c r="L149" s="86">
        <f t="shared" si="14"/>
        <v>1450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174</v>
      </c>
      <c r="B155" s="541"/>
      <c r="C155" s="32">
        <v>2014</v>
      </c>
      <c r="D155" s="312"/>
      <c r="E155" s="313"/>
      <c r="F155" s="313"/>
      <c r="G155" s="316"/>
    </row>
    <row r="156" spans="1:15" x14ac:dyDescent="0.25">
      <c r="A156" s="540"/>
      <c r="B156" s="541"/>
      <c r="C156" s="32">
        <v>2015</v>
      </c>
      <c r="D156" s="312"/>
      <c r="E156" s="313"/>
      <c r="F156" s="313"/>
      <c r="G156" s="316"/>
    </row>
    <row r="157" spans="1:15" x14ac:dyDescent="0.25">
      <c r="A157" s="540"/>
      <c r="B157" s="541"/>
      <c r="C157" s="32">
        <v>2016</v>
      </c>
      <c r="D157" s="312"/>
      <c r="E157" s="313"/>
      <c r="F157" s="313"/>
      <c r="G157" s="316"/>
    </row>
    <row r="158" spans="1:15" x14ac:dyDescent="0.25">
      <c r="A158" s="540"/>
      <c r="B158" s="541"/>
      <c r="C158" s="32">
        <v>2017</v>
      </c>
      <c r="D158" s="312"/>
      <c r="E158" s="313"/>
      <c r="F158" s="313"/>
      <c r="G158" s="316"/>
    </row>
    <row r="159" spans="1:15" x14ac:dyDescent="0.25">
      <c r="A159" s="540"/>
      <c r="B159" s="541"/>
      <c r="C159" s="32">
        <v>2018</v>
      </c>
      <c r="D159" s="33">
        <v>4</v>
      </c>
      <c r="E159" s="34">
        <v>238</v>
      </c>
      <c r="F159" s="34">
        <v>4</v>
      </c>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4</v>
      </c>
      <c r="E162" s="52">
        <f>SUM(E155:E160)</f>
        <v>238</v>
      </c>
      <c r="F162" s="52">
        <f>SUM(F155:F160)</f>
        <v>4</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36" t="s">
        <v>175</v>
      </c>
      <c r="C166" s="230">
        <f>SUM(C167:C169)</f>
        <v>0</v>
      </c>
      <c r="D166" s="230">
        <f t="shared" ref="D166:I166" si="15">SUM(D167:D169)</f>
        <v>0</v>
      </c>
      <c r="E166" s="230">
        <f t="shared" si="15"/>
        <v>0</v>
      </c>
      <c r="F166" s="230">
        <f t="shared" si="15"/>
        <v>0</v>
      </c>
      <c r="G166" s="230">
        <f t="shared" si="15"/>
        <v>901554.46</v>
      </c>
      <c r="H166" s="230">
        <f t="shared" si="15"/>
        <v>0</v>
      </c>
      <c r="I166" s="231">
        <f t="shared" si="15"/>
        <v>0</v>
      </c>
    </row>
    <row r="167" spans="1:9" ht="15.75" x14ac:dyDescent="0.25">
      <c r="A167" s="232" t="s">
        <v>111</v>
      </c>
      <c r="B167" s="637"/>
      <c r="C167" s="230"/>
      <c r="D167" s="230"/>
      <c r="E167" s="230"/>
      <c r="F167" s="230"/>
      <c r="G167" s="78">
        <v>547980.1</v>
      </c>
      <c r="H167" s="78"/>
      <c r="I167" s="233"/>
    </row>
    <row r="168" spans="1:9" ht="15.75" x14ac:dyDescent="0.25">
      <c r="A168" s="232" t="s">
        <v>112</v>
      </c>
      <c r="B168" s="637"/>
      <c r="C168" s="230"/>
      <c r="D168" s="230"/>
      <c r="E168" s="230"/>
      <c r="F168" s="230"/>
      <c r="G168" s="78">
        <v>111826.35</v>
      </c>
      <c r="H168" s="78"/>
      <c r="I168" s="233"/>
    </row>
    <row r="169" spans="1:9" ht="15.75" x14ac:dyDescent="0.25">
      <c r="A169" s="232" t="s">
        <v>113</v>
      </c>
      <c r="B169" s="637"/>
      <c r="C169" s="230"/>
      <c r="D169" s="230"/>
      <c r="E169" s="230"/>
      <c r="F169" s="230"/>
      <c r="G169" s="78">
        <v>241748.01</v>
      </c>
      <c r="H169" s="78"/>
      <c r="I169" s="233"/>
    </row>
    <row r="170" spans="1:9" ht="31.5" x14ac:dyDescent="0.25">
      <c r="A170" s="234" t="s">
        <v>114</v>
      </c>
      <c r="B170" s="637"/>
      <c r="C170" s="230"/>
      <c r="D170" s="230"/>
      <c r="E170" s="230"/>
      <c r="F170" s="230"/>
      <c r="G170" s="78">
        <v>374505.17</v>
      </c>
      <c r="H170" s="78"/>
      <c r="I170" s="233"/>
    </row>
    <row r="171" spans="1:9" ht="16.5" thickBot="1" x14ac:dyDescent="0.3">
      <c r="A171" s="235" t="s">
        <v>115</v>
      </c>
      <c r="B171" s="244"/>
      <c r="C171" s="236">
        <f t="shared" ref="C171:I171" si="16">C166+C170</f>
        <v>0</v>
      </c>
      <c r="D171" s="236">
        <f t="shared" si="16"/>
        <v>0</v>
      </c>
      <c r="E171" s="236">
        <f t="shared" si="16"/>
        <v>0</v>
      </c>
      <c r="F171" s="236">
        <f t="shared" si="16"/>
        <v>0</v>
      </c>
      <c r="G171" s="236">
        <f t="shared" si="16"/>
        <v>1276059.6299999999</v>
      </c>
      <c r="H171" s="236">
        <f t="shared" si="16"/>
        <v>0</v>
      </c>
      <c r="I171" s="86">
        <f t="shared" si="16"/>
        <v>0</v>
      </c>
    </row>
    <row r="174" spans="1:9" x14ac:dyDescent="0.25">
      <c r="G174" s="292"/>
    </row>
    <row r="175" spans="1:9" x14ac:dyDescent="0.25">
      <c r="F175" s="11"/>
      <c r="G175" s="292"/>
    </row>
    <row r="176" spans="1:9" x14ac:dyDescent="0.25">
      <c r="G176" s="337"/>
    </row>
    <row r="177" spans="6:7" x14ac:dyDescent="0.25">
      <c r="G177" s="337"/>
    </row>
    <row r="178" spans="6:7" x14ac:dyDescent="0.25">
      <c r="G178" s="337"/>
    </row>
    <row r="179" spans="6:7" x14ac:dyDescent="0.25">
      <c r="G179" s="337"/>
    </row>
    <row r="180" spans="6:7" x14ac:dyDescent="0.25">
      <c r="F180" s="338"/>
      <c r="G180" s="339"/>
    </row>
  </sheetData>
  <mergeCells count="50">
    <mergeCell ref="A142:B149"/>
    <mergeCell ref="A155:B162"/>
    <mergeCell ref="B166:B170"/>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48" workbookViewId="0">
      <selection activeCell="C174" sqref="C174"/>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176</v>
      </c>
    </row>
    <row r="5" spans="1:17" s="2" customFormat="1" ht="15.75" x14ac:dyDescent="0.25">
      <c r="A5" s="239" t="s">
        <v>118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177</v>
      </c>
      <c r="B12" s="535"/>
      <c r="C12" s="32">
        <v>2014</v>
      </c>
      <c r="D12" s="33"/>
      <c r="E12" s="34"/>
      <c r="F12" s="34"/>
      <c r="G12" s="35"/>
      <c r="H12" s="36">
        <f>SUM(D12:G12)</f>
        <v>0</v>
      </c>
      <c r="I12" s="37"/>
      <c r="J12" s="34"/>
      <c r="K12" s="34"/>
      <c r="L12" s="34"/>
      <c r="M12" s="34"/>
      <c r="N12" s="34"/>
      <c r="O12" s="38"/>
      <c r="P12" s="11"/>
      <c r="Q12" s="11"/>
    </row>
    <row r="13" spans="1:17" ht="17.25" customHeight="1" x14ac:dyDescent="0.25">
      <c r="A13" s="534" t="s">
        <v>178</v>
      </c>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ht="16.5" customHeight="1" x14ac:dyDescent="0.25">
      <c r="A15" s="534" t="s">
        <v>179</v>
      </c>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58</v>
      </c>
      <c r="E16" s="34">
        <v>1</v>
      </c>
      <c r="F16" s="34">
        <v>3</v>
      </c>
      <c r="G16" s="35">
        <v>6</v>
      </c>
      <c r="H16" s="36">
        <f t="shared" si="0"/>
        <v>68</v>
      </c>
      <c r="I16" s="37">
        <v>18</v>
      </c>
      <c r="J16" s="34">
        <v>3</v>
      </c>
      <c r="K16" s="34">
        <v>3</v>
      </c>
      <c r="L16" s="34">
        <v>0</v>
      </c>
      <c r="M16" s="34">
        <v>0</v>
      </c>
      <c r="N16" s="34">
        <v>33</v>
      </c>
      <c r="O16" s="38">
        <v>11</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638"/>
      <c r="B18" s="639"/>
      <c r="C18" s="32">
        <v>2020</v>
      </c>
      <c r="D18" s="33"/>
      <c r="E18" s="34"/>
      <c r="F18" s="34"/>
      <c r="G18" s="35"/>
      <c r="H18" s="36">
        <f t="shared" si="0"/>
        <v>0</v>
      </c>
      <c r="I18" s="37"/>
      <c r="J18" s="223"/>
      <c r="K18" s="223"/>
      <c r="L18" s="223"/>
      <c r="M18" s="223"/>
      <c r="N18" s="223"/>
      <c r="O18" s="38"/>
      <c r="P18" s="11"/>
      <c r="Q18" s="11"/>
    </row>
    <row r="19" spans="1:17" ht="77.25" customHeight="1" thickBot="1" x14ac:dyDescent="0.3">
      <c r="A19" s="640"/>
      <c r="B19" s="641"/>
      <c r="C19" s="50" t="s">
        <v>14</v>
      </c>
      <c r="D19" s="51">
        <f t="shared" ref="D19:O19" si="1">SUM(D12:D18)</f>
        <v>58</v>
      </c>
      <c r="E19" s="52">
        <f t="shared" si="1"/>
        <v>1</v>
      </c>
      <c r="F19" s="52">
        <f t="shared" si="1"/>
        <v>3</v>
      </c>
      <c r="G19" s="52">
        <f t="shared" si="1"/>
        <v>6</v>
      </c>
      <c r="H19" s="54">
        <f t="shared" si="1"/>
        <v>68</v>
      </c>
      <c r="I19" s="344">
        <f t="shared" si="1"/>
        <v>18</v>
      </c>
      <c r="J19" s="52">
        <f t="shared" si="1"/>
        <v>3</v>
      </c>
      <c r="K19" s="52">
        <f t="shared" si="1"/>
        <v>3</v>
      </c>
      <c r="L19" s="52">
        <f t="shared" si="1"/>
        <v>0</v>
      </c>
      <c r="M19" s="52">
        <f t="shared" si="1"/>
        <v>0</v>
      </c>
      <c r="N19" s="52">
        <f t="shared" si="1"/>
        <v>33</v>
      </c>
      <c r="O19" s="86">
        <f t="shared" si="1"/>
        <v>11</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311" t="s">
        <v>23</v>
      </c>
      <c r="C22" s="533"/>
      <c r="D22" s="62" t="s">
        <v>10</v>
      </c>
      <c r="E22" s="63" t="s">
        <v>11</v>
      </c>
      <c r="F22" s="63" t="s">
        <v>12</v>
      </c>
      <c r="G22" s="64" t="s">
        <v>13</v>
      </c>
      <c r="H22" s="25" t="s">
        <v>14</v>
      </c>
      <c r="K22" s="20"/>
      <c r="L22" s="20"/>
    </row>
    <row r="23" spans="1:17" ht="15" customHeight="1" x14ac:dyDescent="0.25">
      <c r="A23" s="534" t="s">
        <v>35</v>
      </c>
      <c r="B23" s="535"/>
      <c r="C23" s="32">
        <v>2014</v>
      </c>
      <c r="D23" s="33"/>
      <c r="E23" s="34"/>
      <c r="F23" s="34"/>
      <c r="G23" s="35"/>
      <c r="H23" s="345">
        <f>SUM(D23:G23)</f>
        <v>0</v>
      </c>
    </row>
    <row r="24" spans="1:17" ht="15.75" customHeight="1" x14ac:dyDescent="0.25">
      <c r="A24" s="534" t="s">
        <v>180</v>
      </c>
      <c r="B24" s="535"/>
      <c r="C24" s="32">
        <v>2015</v>
      </c>
      <c r="D24" s="33"/>
      <c r="E24" s="34"/>
      <c r="F24" s="34"/>
      <c r="G24" s="35"/>
      <c r="H24" s="345">
        <f t="shared" ref="H24:H29" si="2">SUM(D24:G24)</f>
        <v>0</v>
      </c>
    </row>
    <row r="25" spans="1:17" x14ac:dyDescent="0.25">
      <c r="A25" s="534"/>
      <c r="B25" s="535"/>
      <c r="C25" s="32">
        <v>2016</v>
      </c>
      <c r="D25" s="33"/>
      <c r="E25" s="34"/>
      <c r="F25" s="34"/>
      <c r="G25" s="35"/>
      <c r="H25" s="345">
        <f t="shared" si="2"/>
        <v>0</v>
      </c>
    </row>
    <row r="26" spans="1:17" ht="15.75" customHeight="1" x14ac:dyDescent="0.25">
      <c r="A26" s="534" t="s">
        <v>181</v>
      </c>
      <c r="B26" s="535"/>
      <c r="C26" s="32">
        <v>2017</v>
      </c>
      <c r="D26" s="39"/>
      <c r="E26" s="40"/>
      <c r="F26" s="40"/>
      <c r="G26" s="41"/>
      <c r="H26" s="345">
        <f t="shared" si="2"/>
        <v>0</v>
      </c>
    </row>
    <row r="27" spans="1:17" x14ac:dyDescent="0.25">
      <c r="A27" s="638"/>
      <c r="B27" s="639"/>
      <c r="C27" s="32">
        <v>2018</v>
      </c>
      <c r="D27" s="269">
        <f>3522</f>
        <v>3522</v>
      </c>
      <c r="E27" s="34">
        <v>1</v>
      </c>
      <c r="F27" s="34">
        <v>336</v>
      </c>
      <c r="G27" s="271">
        <v>102000</v>
      </c>
      <c r="H27" s="345">
        <f t="shared" si="2"/>
        <v>105859</v>
      </c>
    </row>
    <row r="28" spans="1:17" x14ac:dyDescent="0.25">
      <c r="A28" s="638"/>
      <c r="B28" s="639"/>
      <c r="C28" s="32">
        <v>2019</v>
      </c>
      <c r="D28" s="33"/>
      <c r="E28" s="34"/>
      <c r="F28" s="34"/>
      <c r="G28" s="35"/>
      <c r="H28" s="345">
        <f t="shared" si="2"/>
        <v>0</v>
      </c>
    </row>
    <row r="29" spans="1:17" x14ac:dyDescent="0.25">
      <c r="A29" s="638"/>
      <c r="B29" s="639"/>
      <c r="C29" s="32">
        <v>2020</v>
      </c>
      <c r="D29" s="33"/>
      <c r="E29" s="34"/>
      <c r="F29" s="34"/>
      <c r="G29" s="35"/>
      <c r="H29" s="345">
        <f t="shared" si="2"/>
        <v>0</v>
      </c>
    </row>
    <row r="30" spans="1:17" ht="24" customHeight="1" thickBot="1" x14ac:dyDescent="0.3">
      <c r="A30" s="640"/>
      <c r="B30" s="641"/>
      <c r="C30" s="50" t="s">
        <v>14</v>
      </c>
      <c r="D30" s="346">
        <f>SUM(D23:D29)</f>
        <v>3522</v>
      </c>
      <c r="E30" s="347">
        <f>SUM(E23:E29)</f>
        <v>1</v>
      </c>
      <c r="F30" s="347">
        <f>SUM(F23:F29)</f>
        <v>336</v>
      </c>
      <c r="G30" s="347">
        <f>SUM(G23:G29)</f>
        <v>102000</v>
      </c>
      <c r="H30" s="348">
        <f>SUM(H23:H29)</f>
        <v>105859</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182</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9</v>
      </c>
      <c r="E40" s="37">
        <v>1</v>
      </c>
      <c r="F40" s="34">
        <v>0</v>
      </c>
      <c r="G40" s="34">
        <v>0</v>
      </c>
      <c r="H40" s="34">
        <v>0</v>
      </c>
      <c r="I40" s="34">
        <v>0</v>
      </c>
      <c r="J40" s="34">
        <v>0</v>
      </c>
      <c r="K40" s="38">
        <v>8</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9</v>
      </c>
      <c r="E43" s="85">
        <f t="shared" ref="E43:J43" si="3">SUM(E36:E42)</f>
        <v>1</v>
      </c>
      <c r="F43" s="52">
        <f t="shared" si="3"/>
        <v>0</v>
      </c>
      <c r="G43" s="52">
        <f t="shared" si="3"/>
        <v>0</v>
      </c>
      <c r="H43" s="52">
        <f t="shared" si="3"/>
        <v>0</v>
      </c>
      <c r="I43" s="52">
        <f t="shared" si="3"/>
        <v>0</v>
      </c>
      <c r="J43" s="52">
        <f t="shared" si="3"/>
        <v>0</v>
      </c>
      <c r="K43" s="86">
        <f>SUM(K36:K42)</f>
        <v>8</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618" t="s">
        <v>183</v>
      </c>
      <c r="B50" s="619"/>
      <c r="C50" s="32">
        <v>2014</v>
      </c>
      <c r="D50" s="101"/>
      <c r="E50" s="37"/>
      <c r="F50" s="34"/>
      <c r="G50" s="34"/>
      <c r="H50" s="34"/>
      <c r="I50" s="34"/>
      <c r="J50" s="34"/>
      <c r="K50" s="38"/>
    </row>
    <row r="51" spans="1:16" x14ac:dyDescent="0.25">
      <c r="A51" s="618"/>
      <c r="B51" s="619"/>
      <c r="C51" s="32">
        <v>2015</v>
      </c>
      <c r="D51" s="101"/>
      <c r="E51" s="37"/>
      <c r="F51" s="34"/>
      <c r="G51" s="34"/>
      <c r="H51" s="34"/>
      <c r="I51" s="34"/>
      <c r="J51" s="34"/>
      <c r="K51" s="38"/>
    </row>
    <row r="52" spans="1:16" x14ac:dyDescent="0.25">
      <c r="A52" s="618"/>
      <c r="B52" s="619"/>
      <c r="C52" s="32">
        <v>2016</v>
      </c>
      <c r="D52" s="101"/>
      <c r="E52" s="37"/>
      <c r="F52" s="34"/>
      <c r="G52" s="34"/>
      <c r="H52" s="34"/>
      <c r="I52" s="34"/>
      <c r="J52" s="34"/>
      <c r="K52" s="38"/>
    </row>
    <row r="53" spans="1:16" x14ac:dyDescent="0.25">
      <c r="A53" s="618"/>
      <c r="B53" s="619"/>
      <c r="C53" s="32">
        <v>2017</v>
      </c>
      <c r="D53" s="102"/>
      <c r="E53" s="42"/>
      <c r="F53" s="40"/>
      <c r="G53" s="40"/>
      <c r="H53" s="40"/>
      <c r="I53" s="40"/>
      <c r="J53" s="40"/>
      <c r="K53" s="43"/>
    </row>
    <row r="54" spans="1:16" x14ac:dyDescent="0.25">
      <c r="A54" s="618"/>
      <c r="B54" s="619"/>
      <c r="C54" s="32">
        <v>2018</v>
      </c>
      <c r="D54" s="101">
        <v>7</v>
      </c>
      <c r="E54" s="37"/>
      <c r="F54" s="34"/>
      <c r="G54" s="34"/>
      <c r="H54" s="34"/>
      <c r="I54" s="34"/>
      <c r="J54" s="34">
        <v>6</v>
      </c>
      <c r="K54" s="38">
        <v>1</v>
      </c>
    </row>
    <row r="55" spans="1:16" x14ac:dyDescent="0.25">
      <c r="A55" s="618"/>
      <c r="B55" s="619"/>
      <c r="C55" s="32">
        <v>2019</v>
      </c>
      <c r="D55" s="101"/>
      <c r="E55" s="37"/>
      <c r="F55" s="34"/>
      <c r="G55" s="34"/>
      <c r="H55" s="34"/>
      <c r="I55" s="34"/>
      <c r="J55" s="34"/>
      <c r="K55" s="38"/>
    </row>
    <row r="56" spans="1:16" x14ac:dyDescent="0.25">
      <c r="A56" s="618"/>
      <c r="B56" s="619"/>
      <c r="C56" s="32">
        <v>2020</v>
      </c>
      <c r="D56" s="101"/>
      <c r="E56" s="37"/>
      <c r="F56" s="34"/>
      <c r="G56" s="34"/>
      <c r="H56" s="34"/>
      <c r="I56" s="34"/>
      <c r="J56" s="34"/>
      <c r="K56" s="38"/>
    </row>
    <row r="57" spans="1:16" ht="94.9" customHeight="1" thickBot="1" x14ac:dyDescent="0.3">
      <c r="A57" s="620"/>
      <c r="B57" s="621"/>
      <c r="C57" s="50" t="s">
        <v>14</v>
      </c>
      <c r="D57" s="103">
        <f t="shared" ref="D57:I57" si="4">SUM(D50:D56)</f>
        <v>7</v>
      </c>
      <c r="E57" s="85">
        <f t="shared" si="4"/>
        <v>0</v>
      </c>
      <c r="F57" s="52">
        <f t="shared" si="4"/>
        <v>0</v>
      </c>
      <c r="G57" s="52">
        <f t="shared" si="4"/>
        <v>0</v>
      </c>
      <c r="H57" s="52">
        <f t="shared" si="4"/>
        <v>0</v>
      </c>
      <c r="I57" s="52">
        <f t="shared" si="4"/>
        <v>0</v>
      </c>
      <c r="J57" s="52">
        <f>SUM(J50:J56)</f>
        <v>6</v>
      </c>
      <c r="K57" s="86">
        <f>SUM(K50:K56)</f>
        <v>1</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184</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8</v>
      </c>
      <c r="F67" s="122">
        <v>0</v>
      </c>
      <c r="G67" s="123">
        <v>0</v>
      </c>
      <c r="H67" s="123">
        <v>0</v>
      </c>
      <c r="I67" s="123">
        <v>0</v>
      </c>
      <c r="J67" s="123">
        <v>0</v>
      </c>
      <c r="K67" s="123">
        <v>0</v>
      </c>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8</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185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4</v>
      </c>
      <c r="E78" s="122">
        <v>0</v>
      </c>
      <c r="F78" s="123">
        <v>0</v>
      </c>
      <c r="G78" s="123">
        <v>0</v>
      </c>
      <c r="H78" s="123">
        <v>0</v>
      </c>
      <c r="I78" s="123">
        <v>0</v>
      </c>
      <c r="J78" s="123">
        <v>0</v>
      </c>
      <c r="K78" s="293">
        <v>4</v>
      </c>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4</v>
      </c>
      <c r="E81" s="128">
        <f t="shared" si="6"/>
        <v>0</v>
      </c>
      <c r="F81" s="129">
        <f t="shared" si="6"/>
        <v>0</v>
      </c>
      <c r="G81" s="129">
        <f t="shared" si="6"/>
        <v>0</v>
      </c>
      <c r="H81" s="129">
        <f t="shared" si="6"/>
        <v>0</v>
      </c>
      <c r="I81" s="129">
        <f t="shared" si="6"/>
        <v>0</v>
      </c>
      <c r="J81" s="129">
        <f t="shared" si="6"/>
        <v>0</v>
      </c>
      <c r="K81" s="130">
        <f>SUM(K74:K80)</f>
        <v>4</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v>0</v>
      </c>
      <c r="E89" s="122">
        <v>0</v>
      </c>
      <c r="F89" s="123">
        <v>0</v>
      </c>
      <c r="G89" s="123">
        <v>0</v>
      </c>
      <c r="H89" s="123">
        <v>0</v>
      </c>
      <c r="I89" s="123">
        <v>0</v>
      </c>
      <c r="J89" s="123">
        <v>0</v>
      </c>
      <c r="K89" s="124">
        <v>0</v>
      </c>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309" t="s">
        <v>6</v>
      </c>
      <c r="D94" s="139" t="s">
        <v>51</v>
      </c>
      <c r="E94" s="140"/>
      <c r="F94" s="140"/>
      <c r="G94" s="141"/>
      <c r="H94" s="11"/>
      <c r="I94" s="11"/>
      <c r="J94" s="11"/>
      <c r="K94" s="11"/>
      <c r="O94" s="9"/>
      <c r="P94" s="9"/>
    </row>
    <row r="95" spans="1:17" s="9" customFormat="1" ht="64.5" x14ac:dyDescent="0.25">
      <c r="A95" s="559"/>
      <c r="B95" s="561"/>
      <c r="C95" s="310"/>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84</v>
      </c>
      <c r="E99" s="34">
        <v>92</v>
      </c>
      <c r="F99" s="34">
        <v>0</v>
      </c>
      <c r="G99" s="144">
        <f t="shared" si="8"/>
        <v>176</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84</v>
      </c>
      <c r="E102" s="52">
        <f>SUM(E95:E101)</f>
        <v>92</v>
      </c>
      <c r="F102" s="52">
        <f>SUM(F95:F101)</f>
        <v>0</v>
      </c>
      <c r="G102" s="145">
        <f>SUM(G95:G101)</f>
        <v>176</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v>0</v>
      </c>
      <c r="E112" s="123">
        <v>0</v>
      </c>
      <c r="F112" s="165">
        <v>0</v>
      </c>
      <c r="G112" s="166">
        <v>0</v>
      </c>
      <c r="H112" s="164">
        <v>0</v>
      </c>
      <c r="I112" s="123">
        <v>0</v>
      </c>
      <c r="J112" s="124">
        <v>0</v>
      </c>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08"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v>0</v>
      </c>
      <c r="E122" s="123">
        <v>0</v>
      </c>
      <c r="F122" s="123">
        <v>0</v>
      </c>
      <c r="G122" s="123">
        <v>0</v>
      </c>
      <c r="H122" s="123">
        <v>0</v>
      </c>
      <c r="I122" s="124">
        <v>0</v>
      </c>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177</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t="s">
        <v>186</v>
      </c>
      <c r="B132" s="590"/>
      <c r="C132" s="32">
        <v>2015</v>
      </c>
      <c r="D132" s="33"/>
      <c r="E132" s="34"/>
      <c r="F132" s="34"/>
      <c r="G132" s="203">
        <f t="shared" si="12"/>
        <v>0</v>
      </c>
      <c r="H132" s="101"/>
      <c r="I132" s="37"/>
      <c r="J132" s="34"/>
      <c r="K132" s="34"/>
      <c r="L132" s="34"/>
      <c r="M132" s="34"/>
      <c r="N132" s="34"/>
      <c r="O132" s="38"/>
    </row>
    <row r="133" spans="1:15" x14ac:dyDescent="0.25">
      <c r="A133" s="589" t="s">
        <v>187</v>
      </c>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49"/>
      <c r="E134" s="40"/>
      <c r="F134" s="40"/>
      <c r="G134" s="203">
        <f t="shared" si="12"/>
        <v>0</v>
      </c>
      <c r="H134" s="101"/>
      <c r="I134" s="42"/>
      <c r="J134" s="40"/>
      <c r="K134" s="40"/>
      <c r="L134" s="40"/>
      <c r="M134" s="40"/>
      <c r="N134" s="40"/>
      <c r="O134" s="43"/>
    </row>
    <row r="135" spans="1:15" x14ac:dyDescent="0.25">
      <c r="A135" s="350" t="s">
        <v>188</v>
      </c>
      <c r="B135" s="351"/>
      <c r="C135" s="32">
        <v>2018</v>
      </c>
      <c r="D135" s="352">
        <v>35</v>
      </c>
      <c r="E135" s="353">
        <v>5</v>
      </c>
      <c r="F135" s="353">
        <v>7</v>
      </c>
      <c r="G135" s="354">
        <f>SUM(D135:F135)</f>
        <v>47</v>
      </c>
      <c r="H135" s="355">
        <v>141</v>
      </c>
      <c r="I135" s="37">
        <v>13</v>
      </c>
      <c r="J135" s="34">
        <v>0</v>
      </c>
      <c r="K135" s="34">
        <v>1</v>
      </c>
      <c r="L135" s="34">
        <v>0</v>
      </c>
      <c r="M135" s="34">
        <v>0</v>
      </c>
      <c r="N135" s="34">
        <v>30</v>
      </c>
      <c r="O135" s="38">
        <v>3</v>
      </c>
    </row>
    <row r="136" spans="1:15" x14ac:dyDescent="0.25">
      <c r="A136" s="350"/>
      <c r="B136" s="351"/>
      <c r="C136" s="32">
        <v>2019</v>
      </c>
      <c r="D136" s="33"/>
      <c r="E136" s="34"/>
      <c r="F136" s="34"/>
      <c r="G136" s="203">
        <f t="shared" si="12"/>
        <v>0</v>
      </c>
      <c r="H136" s="101"/>
      <c r="I136" s="37"/>
      <c r="J136" s="34"/>
      <c r="K136" s="34"/>
      <c r="L136" s="34"/>
      <c r="M136" s="34"/>
      <c r="N136" s="34"/>
      <c r="O136" s="38"/>
    </row>
    <row r="137" spans="1:15" x14ac:dyDescent="0.25">
      <c r="A137" s="350"/>
      <c r="B137" s="351"/>
      <c r="C137" s="32">
        <v>2020</v>
      </c>
      <c r="D137" s="33"/>
      <c r="E137" s="34"/>
      <c r="F137" s="34"/>
      <c r="G137" s="203">
        <f t="shared" si="12"/>
        <v>0</v>
      </c>
      <c r="H137" s="101"/>
      <c r="I137" s="37"/>
      <c r="J137" s="34"/>
      <c r="K137" s="34"/>
      <c r="L137" s="34"/>
      <c r="M137" s="34"/>
      <c r="N137" s="34"/>
      <c r="O137" s="38"/>
    </row>
    <row r="138" spans="1:15" ht="15.95" customHeight="1" thickBot="1" x14ac:dyDescent="0.3">
      <c r="A138" s="356"/>
      <c r="B138" s="357"/>
      <c r="C138" s="50" t="s">
        <v>14</v>
      </c>
      <c r="D138" s="51">
        <f>SUM(D131:D137)</f>
        <v>35</v>
      </c>
      <c r="E138" s="52">
        <f>SUM(E131:E137)</f>
        <v>5</v>
      </c>
      <c r="F138" s="52">
        <f>SUM(F131:F137)</f>
        <v>7</v>
      </c>
      <c r="G138" s="205">
        <f t="shared" ref="G138:O138" si="13">SUM(G131:G137)</f>
        <v>47</v>
      </c>
      <c r="H138" s="206">
        <f t="shared" si="13"/>
        <v>141</v>
      </c>
      <c r="I138" s="85">
        <f t="shared" si="13"/>
        <v>13</v>
      </c>
      <c r="J138" s="52">
        <f t="shared" si="13"/>
        <v>0</v>
      </c>
      <c r="K138" s="52">
        <f t="shared" si="13"/>
        <v>1</v>
      </c>
      <c r="L138" s="52">
        <f t="shared" si="13"/>
        <v>0</v>
      </c>
      <c r="M138" s="52">
        <f t="shared" si="13"/>
        <v>0</v>
      </c>
      <c r="N138" s="52">
        <f t="shared" si="13"/>
        <v>30</v>
      </c>
      <c r="O138" s="86">
        <f t="shared" si="13"/>
        <v>3</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t="s">
        <v>189</v>
      </c>
      <c r="B143" s="535"/>
      <c r="C143" s="32">
        <v>2015</v>
      </c>
      <c r="D143" s="33"/>
      <c r="E143" s="34"/>
      <c r="F143" s="34"/>
      <c r="G143" s="214">
        <f t="shared" ref="G143:G148" si="14">SUM(D143:F143)</f>
        <v>0</v>
      </c>
      <c r="H143" s="37"/>
      <c r="I143" s="34"/>
      <c r="J143" s="34"/>
      <c r="K143" s="34"/>
      <c r="L143" s="38"/>
    </row>
    <row r="144" spans="1:15" ht="51" customHeight="1" x14ac:dyDescent="0.25">
      <c r="A144" s="534" t="s">
        <v>190</v>
      </c>
      <c r="B144" s="535"/>
      <c r="C144" s="32">
        <v>2016</v>
      </c>
      <c r="D144" s="33"/>
      <c r="E144" s="34"/>
      <c r="F144" s="34"/>
      <c r="G144" s="214">
        <f t="shared" si="14"/>
        <v>0</v>
      </c>
      <c r="H144" s="37"/>
      <c r="I144" s="34"/>
      <c r="J144" s="34"/>
      <c r="K144" s="34"/>
      <c r="L144" s="38"/>
    </row>
    <row r="145" spans="1:15" x14ac:dyDescent="0.25">
      <c r="A145" s="638"/>
      <c r="B145" s="639"/>
      <c r="C145" s="32">
        <v>2017</v>
      </c>
      <c r="D145" s="39"/>
      <c r="E145" s="40"/>
      <c r="F145" s="40"/>
      <c r="G145" s="214">
        <f t="shared" si="14"/>
        <v>0</v>
      </c>
      <c r="H145" s="42"/>
      <c r="I145" s="40"/>
      <c r="J145" s="40"/>
      <c r="K145" s="40"/>
      <c r="L145" s="43"/>
    </row>
    <row r="146" spans="1:15" x14ac:dyDescent="0.25">
      <c r="A146" s="638"/>
      <c r="B146" s="639"/>
      <c r="C146" s="32">
        <v>2018</v>
      </c>
      <c r="D146" s="358">
        <v>2437</v>
      </c>
      <c r="E146" s="359">
        <v>504</v>
      </c>
      <c r="F146" s="359">
        <v>704</v>
      </c>
      <c r="G146" s="360">
        <f t="shared" si="14"/>
        <v>3645</v>
      </c>
      <c r="H146" s="361">
        <v>0</v>
      </c>
      <c r="I146" s="270">
        <v>290</v>
      </c>
      <c r="J146" s="270">
        <v>8</v>
      </c>
      <c r="K146" s="270">
        <v>1020</v>
      </c>
      <c r="L146" s="362">
        <v>2327</v>
      </c>
    </row>
    <row r="147" spans="1:15" x14ac:dyDescent="0.25">
      <c r="A147" s="638"/>
      <c r="B147" s="639"/>
      <c r="C147" s="32">
        <v>2019</v>
      </c>
      <c r="D147" s="33"/>
      <c r="E147" s="270"/>
      <c r="F147" s="270"/>
      <c r="G147" s="360">
        <f t="shared" si="14"/>
        <v>0</v>
      </c>
      <c r="H147" s="361"/>
      <c r="I147" s="270"/>
      <c r="J147" s="270"/>
      <c r="K147" s="270"/>
      <c r="L147" s="362"/>
    </row>
    <row r="148" spans="1:15" x14ac:dyDescent="0.25">
      <c r="A148" s="638"/>
      <c r="B148" s="639"/>
      <c r="C148" s="32">
        <v>2020</v>
      </c>
      <c r="D148" s="33"/>
      <c r="E148" s="270"/>
      <c r="F148" s="270"/>
      <c r="G148" s="360">
        <f t="shared" si="14"/>
        <v>0</v>
      </c>
      <c r="H148" s="361"/>
      <c r="I148" s="270"/>
      <c r="J148" s="270"/>
      <c r="K148" s="270"/>
      <c r="L148" s="362"/>
    </row>
    <row r="149" spans="1:15" ht="15.75" thickBot="1" x14ac:dyDescent="0.3">
      <c r="A149" s="640"/>
      <c r="B149" s="641"/>
      <c r="C149" s="50" t="s">
        <v>14</v>
      </c>
      <c r="D149" s="51">
        <f t="shared" ref="D149:L149" si="15">SUM(D142:D148)</f>
        <v>2437</v>
      </c>
      <c r="E149" s="347">
        <f t="shared" si="15"/>
        <v>504</v>
      </c>
      <c r="F149" s="347">
        <f t="shared" si="15"/>
        <v>704</v>
      </c>
      <c r="G149" s="348">
        <f t="shared" si="15"/>
        <v>3645</v>
      </c>
      <c r="H149" s="363">
        <f t="shared" si="15"/>
        <v>0</v>
      </c>
      <c r="I149" s="347">
        <f t="shared" si="15"/>
        <v>290</v>
      </c>
      <c r="J149" s="347">
        <f t="shared" si="15"/>
        <v>8</v>
      </c>
      <c r="K149" s="347">
        <f t="shared" si="15"/>
        <v>1020</v>
      </c>
      <c r="L149" s="364">
        <f t="shared" si="15"/>
        <v>2327</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191</v>
      </c>
      <c r="B155" s="541"/>
      <c r="C155" s="32">
        <v>2014</v>
      </c>
      <c r="D155" s="33"/>
      <c r="E155" s="34"/>
      <c r="F155" s="34"/>
      <c r="G155" s="38"/>
    </row>
    <row r="156" spans="1:15" x14ac:dyDescent="0.25">
      <c r="A156" s="540" t="s">
        <v>192</v>
      </c>
      <c r="B156" s="541"/>
      <c r="C156" s="32">
        <v>2015</v>
      </c>
      <c r="D156" s="33"/>
      <c r="E156" s="34"/>
      <c r="F156" s="34"/>
      <c r="G156" s="38"/>
    </row>
    <row r="157" spans="1:15" x14ac:dyDescent="0.25">
      <c r="A157" s="540"/>
      <c r="B157" s="541"/>
      <c r="C157" s="32">
        <v>2016</v>
      </c>
      <c r="D157" s="33"/>
      <c r="E157" s="34"/>
      <c r="F157" s="34"/>
      <c r="G157" s="38"/>
    </row>
    <row r="158" spans="1:15" x14ac:dyDescent="0.25">
      <c r="A158" s="365"/>
      <c r="B158" s="366"/>
      <c r="C158" s="32">
        <v>2017</v>
      </c>
      <c r="D158" s="39"/>
      <c r="E158" s="40"/>
      <c r="F158" s="40"/>
      <c r="G158" s="43"/>
    </row>
    <row r="159" spans="1:15" x14ac:dyDescent="0.25">
      <c r="A159" s="365"/>
      <c r="B159" s="366"/>
      <c r="C159" s="32">
        <v>2018</v>
      </c>
      <c r="D159" s="33">
        <v>1</v>
      </c>
      <c r="E159" s="34">
        <v>112</v>
      </c>
      <c r="F159" s="367">
        <v>10</v>
      </c>
      <c r="G159" s="368">
        <v>0</v>
      </c>
      <c r="I159" s="369"/>
    </row>
    <row r="160" spans="1:15" x14ac:dyDescent="0.25">
      <c r="A160" s="365"/>
      <c r="B160" s="366"/>
      <c r="C160" s="32">
        <v>2019</v>
      </c>
      <c r="D160" s="33"/>
      <c r="E160" s="34"/>
      <c r="F160" s="34"/>
      <c r="G160" s="38"/>
    </row>
    <row r="161" spans="1:9" x14ac:dyDescent="0.25">
      <c r="A161" s="365"/>
      <c r="B161" s="366"/>
      <c r="C161" s="32">
        <v>2020</v>
      </c>
      <c r="D161" s="222"/>
      <c r="E161" s="223"/>
      <c r="F161" s="223"/>
      <c r="G161" s="224"/>
    </row>
    <row r="162" spans="1:9" ht="15.75" thickBot="1" x14ac:dyDescent="0.3">
      <c r="A162" s="370"/>
      <c r="B162" s="371"/>
      <c r="C162" s="50" t="s">
        <v>14</v>
      </c>
      <c r="D162" s="51">
        <f>SUM(D155:D160)</f>
        <v>1</v>
      </c>
      <c r="E162" s="52">
        <f>SUM(E155:E160)</f>
        <v>112</v>
      </c>
      <c r="F162" s="52">
        <f>SUM(F155:F160)</f>
        <v>10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372">
        <f t="shared" si="16"/>
        <v>819144.17</v>
      </c>
      <c r="H166" s="372">
        <f t="shared" si="16"/>
        <v>0</v>
      </c>
      <c r="I166" s="231">
        <f t="shared" si="16"/>
        <v>0</v>
      </c>
    </row>
    <row r="167" spans="1:9" ht="15.75" x14ac:dyDescent="0.25">
      <c r="A167" s="232" t="s">
        <v>111</v>
      </c>
      <c r="B167" s="243"/>
      <c r="C167" s="78"/>
      <c r="D167" s="78"/>
      <c r="E167" s="78"/>
      <c r="F167" s="82"/>
      <c r="G167" s="289">
        <v>799016.66</v>
      </c>
      <c r="H167" s="289"/>
      <c r="I167" s="233"/>
    </row>
    <row r="168" spans="1:9" ht="15.75" x14ac:dyDescent="0.25">
      <c r="A168" s="232" t="s">
        <v>112</v>
      </c>
      <c r="B168" s="243"/>
      <c r="C168" s="78"/>
      <c r="D168" s="78"/>
      <c r="E168" s="78"/>
      <c r="F168" s="82"/>
      <c r="G168" s="289">
        <v>20127.509999999998</v>
      </c>
      <c r="H168" s="289"/>
      <c r="I168" s="233"/>
    </row>
    <row r="169" spans="1:9" ht="51" x14ac:dyDescent="0.25">
      <c r="A169" s="232" t="s">
        <v>113</v>
      </c>
      <c r="B169" s="243" t="s">
        <v>193</v>
      </c>
      <c r="C169" s="78"/>
      <c r="D169" s="78"/>
      <c r="E169" s="78"/>
      <c r="F169" s="82"/>
      <c r="G169" s="289">
        <v>0</v>
      </c>
      <c r="H169" s="289"/>
      <c r="I169" s="233"/>
    </row>
    <row r="170" spans="1:9" ht="76.5" x14ac:dyDescent="0.25">
      <c r="A170" s="234" t="s">
        <v>114</v>
      </c>
      <c r="B170" s="243" t="s">
        <v>194</v>
      </c>
      <c r="C170" s="78"/>
      <c r="D170" s="78"/>
      <c r="E170" s="78"/>
      <c r="F170" s="82"/>
      <c r="G170" s="289">
        <v>281625.65999999997</v>
      </c>
      <c r="H170" s="289"/>
      <c r="I170" s="233"/>
    </row>
    <row r="171" spans="1:9" ht="16.5" thickBot="1" x14ac:dyDescent="0.3">
      <c r="A171" s="235" t="s">
        <v>115</v>
      </c>
      <c r="B171" s="373"/>
      <c r="C171" s="236">
        <f t="shared" ref="C171:I171" si="17">C166+C170</f>
        <v>0</v>
      </c>
      <c r="D171" s="236">
        <f t="shared" si="17"/>
        <v>0</v>
      </c>
      <c r="E171" s="236">
        <f t="shared" si="17"/>
        <v>0</v>
      </c>
      <c r="F171" s="236">
        <f t="shared" si="17"/>
        <v>0</v>
      </c>
      <c r="G171" s="290">
        <f t="shared" si="17"/>
        <v>1100769.83</v>
      </c>
      <c r="H171" s="290">
        <f t="shared" si="17"/>
        <v>0</v>
      </c>
      <c r="I171" s="86">
        <f t="shared" si="17"/>
        <v>0</v>
      </c>
    </row>
  </sheetData>
  <mergeCells count="61">
    <mergeCell ref="A18:B19"/>
    <mergeCell ref="B10:B11"/>
    <mergeCell ref="C10:C11"/>
    <mergeCell ref="A12:B12"/>
    <mergeCell ref="A13:B14"/>
    <mergeCell ref="A15:B17"/>
    <mergeCell ref="C21:C22"/>
    <mergeCell ref="A23:B23"/>
    <mergeCell ref="A24:B25"/>
    <mergeCell ref="A26:B26"/>
    <mergeCell ref="A27: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56:B157"/>
    <mergeCell ref="I129:O129"/>
    <mergeCell ref="A131:B131"/>
    <mergeCell ref="A132:B132"/>
    <mergeCell ref="A133:B134"/>
    <mergeCell ref="A140:A141"/>
    <mergeCell ref="B140:B141"/>
    <mergeCell ref="C140:C141"/>
    <mergeCell ref="D140:G140"/>
    <mergeCell ref="H140:L140"/>
    <mergeCell ref="A142:B142"/>
    <mergeCell ref="A143:B143"/>
    <mergeCell ref="A144:B144"/>
    <mergeCell ref="A145:B149"/>
    <mergeCell ref="A155:B15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57"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7.710937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195</v>
      </c>
    </row>
    <row r="5" spans="1:17" s="2" customFormat="1" ht="15.75" x14ac:dyDescent="0.25">
      <c r="A5" s="239" t="s">
        <v>196</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197</v>
      </c>
    </row>
    <row r="12" spans="1:17" ht="15" customHeight="1" x14ac:dyDescent="0.25">
      <c r="A12" s="534" t="s">
        <v>198</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29</v>
      </c>
      <c r="E16" s="34">
        <v>0</v>
      </c>
      <c r="F16" s="34">
        <v>2</v>
      </c>
      <c r="G16" s="35">
        <v>4</v>
      </c>
      <c r="H16" s="36">
        <f>SUM(D16:G16)</f>
        <v>35</v>
      </c>
      <c r="I16" s="37">
        <v>3</v>
      </c>
      <c r="J16" s="34">
        <v>3</v>
      </c>
      <c r="K16" s="34">
        <v>4</v>
      </c>
      <c r="L16" s="34">
        <v>1</v>
      </c>
      <c r="M16" s="34">
        <v>1</v>
      </c>
      <c r="N16" s="34">
        <v>17</v>
      </c>
      <c r="O16" s="38">
        <v>12</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29</v>
      </c>
      <c r="E19" s="52">
        <f>SUM(E12:E18)</f>
        <v>0</v>
      </c>
      <c r="F19" s="52">
        <f>SUM(F12:F18)</f>
        <v>2</v>
      </c>
      <c r="G19" s="53">
        <f>SUM(G12:G18)</f>
        <v>4</v>
      </c>
      <c r="H19" s="54">
        <f>SUM(D19:G19)</f>
        <v>35</v>
      </c>
      <c r="I19" s="85">
        <f t="shared" ref="I19:O19" si="1">SUM(I12:I18)</f>
        <v>3</v>
      </c>
      <c r="J19" s="52">
        <f t="shared" si="1"/>
        <v>3</v>
      </c>
      <c r="K19" s="52">
        <f t="shared" si="1"/>
        <v>4</v>
      </c>
      <c r="L19" s="52">
        <f t="shared" si="1"/>
        <v>1</v>
      </c>
      <c r="M19" s="52">
        <f t="shared" si="1"/>
        <v>1</v>
      </c>
      <c r="N19" s="52">
        <f t="shared" si="1"/>
        <v>17</v>
      </c>
      <c r="O19" s="86">
        <f t="shared" si="1"/>
        <v>12</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59.25" customHeight="1" x14ac:dyDescent="0.3">
      <c r="A22" s="60" t="s">
        <v>22</v>
      </c>
      <c r="B22" s="340" t="s">
        <v>23</v>
      </c>
      <c r="C22" s="533"/>
      <c r="D22" s="62" t="s">
        <v>10</v>
      </c>
      <c r="E22" s="63" t="s">
        <v>11</v>
      </c>
      <c r="F22" s="63" t="s">
        <v>12</v>
      </c>
      <c r="G22" s="64" t="s">
        <v>13</v>
      </c>
      <c r="H22" s="25" t="s">
        <v>14</v>
      </c>
    </row>
    <row r="23" spans="1:17" ht="15" customHeight="1" x14ac:dyDescent="0.25">
      <c r="A23" s="534" t="s">
        <v>122</v>
      </c>
      <c r="B23" s="535"/>
      <c r="C23" s="32">
        <v>2014</v>
      </c>
      <c r="D23" s="33"/>
      <c r="E23" s="34"/>
      <c r="F23" s="34"/>
      <c r="G23" s="35"/>
      <c r="H23" s="36">
        <f>SUM(D23:G23)</f>
        <v>0</v>
      </c>
    </row>
    <row r="24" spans="1:17" x14ac:dyDescent="0.25">
      <c r="A24" s="534"/>
      <c r="B24" s="535"/>
      <c r="C24" s="32">
        <v>2015</v>
      </c>
      <c r="D24" s="33"/>
      <c r="E24" s="34"/>
      <c r="F24" s="34"/>
      <c r="G24" s="35"/>
      <c r="H24" s="36">
        <f t="shared" ref="H24:H29" si="2">SUM(D24:G24)</f>
        <v>0</v>
      </c>
    </row>
    <row r="25" spans="1:17" x14ac:dyDescent="0.25">
      <c r="A25" s="534"/>
      <c r="B25" s="535"/>
      <c r="C25" s="32">
        <v>2016</v>
      </c>
      <c r="D25" s="33"/>
      <c r="E25" s="34"/>
      <c r="F25" s="34"/>
      <c r="G25" s="35"/>
      <c r="H25" s="36">
        <f t="shared" si="2"/>
        <v>0</v>
      </c>
    </row>
    <row r="26" spans="1:17" x14ac:dyDescent="0.25">
      <c r="A26" s="534"/>
      <c r="B26" s="535"/>
      <c r="C26" s="32">
        <v>2017</v>
      </c>
      <c r="D26" s="39"/>
      <c r="E26" s="40"/>
      <c r="F26" s="40"/>
      <c r="G26" s="41"/>
      <c r="H26" s="36">
        <f t="shared" si="2"/>
        <v>0</v>
      </c>
    </row>
    <row r="27" spans="1:17" x14ac:dyDescent="0.25">
      <c r="A27" s="534"/>
      <c r="B27" s="535"/>
      <c r="C27" s="32">
        <v>2018</v>
      </c>
      <c r="D27" s="33">
        <v>1326</v>
      </c>
      <c r="E27" s="34">
        <v>0</v>
      </c>
      <c r="F27" s="34">
        <v>375</v>
      </c>
      <c r="G27" s="35">
        <v>8700</v>
      </c>
      <c r="H27" s="36">
        <f t="shared" si="2"/>
        <v>10401</v>
      </c>
    </row>
    <row r="28" spans="1:17" x14ac:dyDescent="0.25">
      <c r="A28" s="534"/>
      <c r="B28" s="535"/>
      <c r="C28" s="32">
        <v>2019</v>
      </c>
      <c r="D28" s="33"/>
      <c r="E28" s="34"/>
      <c r="F28" s="34"/>
      <c r="G28" s="35"/>
      <c r="H28" s="36">
        <f t="shared" si="2"/>
        <v>0</v>
      </c>
    </row>
    <row r="29" spans="1:17" x14ac:dyDescent="0.25">
      <c r="A29" s="534"/>
      <c r="B29" s="535"/>
      <c r="C29" s="32">
        <v>2020</v>
      </c>
      <c r="D29" s="33"/>
      <c r="E29" s="34"/>
      <c r="F29" s="34"/>
      <c r="G29" s="35"/>
      <c r="H29" s="36">
        <f t="shared" si="2"/>
        <v>0</v>
      </c>
    </row>
    <row r="30" spans="1:17" ht="24" customHeight="1" thickBot="1" x14ac:dyDescent="0.3">
      <c r="A30" s="536"/>
      <c r="B30" s="537"/>
      <c r="C30" s="50" t="s">
        <v>14</v>
      </c>
      <c r="D30" s="51">
        <f>SUM(D23:D29)</f>
        <v>1326</v>
      </c>
      <c r="E30" s="52">
        <f>SUM(E23:E29)</f>
        <v>0</v>
      </c>
      <c r="F30" s="52">
        <f>SUM(F23:F29)</f>
        <v>375</v>
      </c>
      <c r="G30" s="52">
        <f>SUM(G23:G29)</f>
        <v>8700</v>
      </c>
      <c r="H30" s="54">
        <f>SUM(H23:H29)</f>
        <v>10401</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5</v>
      </c>
      <c r="E40" s="37">
        <v>2</v>
      </c>
      <c r="F40" s="34">
        <v>0</v>
      </c>
      <c r="G40" s="34">
        <v>0</v>
      </c>
      <c r="H40" s="34">
        <v>0</v>
      </c>
      <c r="I40" s="34">
        <v>0</v>
      </c>
      <c r="J40" s="34">
        <v>3</v>
      </c>
      <c r="K40" s="38">
        <v>0</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5</v>
      </c>
      <c r="E43" s="85">
        <f t="shared" ref="E43:J43" si="3">SUM(E36:E42)</f>
        <v>2</v>
      </c>
      <c r="F43" s="52">
        <f t="shared" si="3"/>
        <v>0</v>
      </c>
      <c r="G43" s="52">
        <f t="shared" si="3"/>
        <v>0</v>
      </c>
      <c r="H43" s="52">
        <f t="shared" si="3"/>
        <v>0</v>
      </c>
      <c r="I43" s="52">
        <f t="shared" si="3"/>
        <v>0</v>
      </c>
      <c r="J43" s="52">
        <f t="shared" si="3"/>
        <v>3</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0</v>
      </c>
      <c r="E54" s="37">
        <v>0</v>
      </c>
      <c r="F54" s="34">
        <v>0</v>
      </c>
      <c r="G54" s="34">
        <v>0</v>
      </c>
      <c r="H54" s="34">
        <v>0</v>
      </c>
      <c r="I54" s="34">
        <v>0</v>
      </c>
      <c r="J54" s="34">
        <v>0</v>
      </c>
      <c r="K54" s="38">
        <v>0</v>
      </c>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199</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12</v>
      </c>
      <c r="F67" s="122">
        <v>0</v>
      </c>
      <c r="G67" s="123">
        <v>0</v>
      </c>
      <c r="H67" s="123">
        <v>0</v>
      </c>
      <c r="I67" s="123">
        <v>0</v>
      </c>
      <c r="J67" s="123">
        <v>0</v>
      </c>
      <c r="K67" s="123">
        <v>0</v>
      </c>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12</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0"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122</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0</v>
      </c>
      <c r="E78" s="122">
        <v>0</v>
      </c>
      <c r="F78" s="123">
        <v>0</v>
      </c>
      <c r="G78" s="123">
        <v>0</v>
      </c>
      <c r="H78" s="123">
        <v>0</v>
      </c>
      <c r="I78" s="123">
        <v>0</v>
      </c>
      <c r="J78" s="123">
        <v>0</v>
      </c>
      <c r="K78" s="124">
        <v>0</v>
      </c>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v>0</v>
      </c>
      <c r="E89" s="122">
        <v>0</v>
      </c>
      <c r="F89" s="123">
        <v>0</v>
      </c>
      <c r="G89" s="123">
        <v>0</v>
      </c>
      <c r="H89" s="123">
        <v>0</v>
      </c>
      <c r="I89" s="123">
        <v>0</v>
      </c>
      <c r="J89" s="123">
        <v>0</v>
      </c>
      <c r="K89" s="124">
        <v>0</v>
      </c>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341" t="s">
        <v>6</v>
      </c>
      <c r="D94" s="139" t="s">
        <v>51</v>
      </c>
      <c r="E94" s="140"/>
      <c r="F94" s="140"/>
      <c r="G94" s="141"/>
      <c r="H94" s="11"/>
      <c r="I94" s="11"/>
      <c r="J94" s="11"/>
      <c r="K94" s="11"/>
      <c r="O94" s="9"/>
      <c r="P94" s="9"/>
    </row>
    <row r="95" spans="1:17" s="9" customFormat="1" ht="64.5" x14ac:dyDescent="0.25">
      <c r="A95" s="559"/>
      <c r="B95" s="561"/>
      <c r="C95" s="342"/>
      <c r="D95" s="115" t="s">
        <v>52</v>
      </c>
      <c r="E95" s="116" t="s">
        <v>53</v>
      </c>
      <c r="F95" s="116" t="s">
        <v>54</v>
      </c>
      <c r="G95" s="143" t="s">
        <v>14</v>
      </c>
      <c r="H95" s="11"/>
      <c r="I95" s="11"/>
      <c r="J95" s="11"/>
      <c r="K95" s="11"/>
      <c r="L95" s="11"/>
      <c r="M95" s="11"/>
      <c r="N95" s="11"/>
    </row>
    <row r="96" spans="1:17" s="11" customFormat="1" ht="26.25" customHeight="1" x14ac:dyDescent="0.25">
      <c r="A96" s="534" t="s">
        <v>200</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116</v>
      </c>
      <c r="E99" s="34">
        <v>0</v>
      </c>
      <c r="F99" s="34">
        <v>0</v>
      </c>
      <c r="G99" s="144">
        <f t="shared" si="8"/>
        <v>116</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116</v>
      </c>
      <c r="E102" s="52">
        <f>SUM(E95:E101)</f>
        <v>0</v>
      </c>
      <c r="F102" s="52">
        <f>SUM(F95:F101)</f>
        <v>0</v>
      </c>
      <c r="G102" s="145">
        <f>SUM(G95:G101)</f>
        <v>116</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v>0</v>
      </c>
      <c r="E112" s="123">
        <v>0</v>
      </c>
      <c r="F112" s="165">
        <v>0</v>
      </c>
      <c r="G112" s="166">
        <f t="shared" si="9"/>
        <v>0</v>
      </c>
      <c r="H112" s="164">
        <v>0</v>
      </c>
      <c r="I112" s="123">
        <v>0</v>
      </c>
      <c r="J112" s="124">
        <v>0</v>
      </c>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43"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v>0</v>
      </c>
      <c r="E122" s="123">
        <v>0</v>
      </c>
      <c r="F122" s="123">
        <v>0</v>
      </c>
      <c r="G122" s="123">
        <v>0</v>
      </c>
      <c r="H122" s="123">
        <v>0</v>
      </c>
      <c r="I122" s="124">
        <v>0</v>
      </c>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34" t="s">
        <v>201</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11</v>
      </c>
      <c r="E135" s="34">
        <v>4</v>
      </c>
      <c r="F135" s="34">
        <v>1</v>
      </c>
      <c r="G135" s="203">
        <f>SUM(D135:F135)</f>
        <v>16</v>
      </c>
      <c r="H135" s="101">
        <v>86</v>
      </c>
      <c r="I135" s="37">
        <v>3</v>
      </c>
      <c r="J135" s="34">
        <v>2</v>
      </c>
      <c r="K135" s="34">
        <v>2</v>
      </c>
      <c r="L135" s="34">
        <v>1</v>
      </c>
      <c r="M135" s="34">
        <v>1</v>
      </c>
      <c r="N135" s="34">
        <v>12</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11</v>
      </c>
      <c r="E138" s="52">
        <f>SUM(E131:E137)</f>
        <v>4</v>
      </c>
      <c r="F138" s="52">
        <f>SUM(F131:F137)</f>
        <v>1</v>
      </c>
      <c r="G138" s="205">
        <f t="shared" ref="G138:O138" si="13">SUM(G131:G137)</f>
        <v>16</v>
      </c>
      <c r="H138" s="206">
        <f t="shared" si="13"/>
        <v>86</v>
      </c>
      <c r="I138" s="85">
        <f t="shared" si="13"/>
        <v>3</v>
      </c>
      <c r="J138" s="52">
        <f t="shared" si="13"/>
        <v>2</v>
      </c>
      <c r="K138" s="52">
        <f t="shared" si="13"/>
        <v>2</v>
      </c>
      <c r="L138" s="52">
        <f t="shared" si="13"/>
        <v>1</v>
      </c>
      <c r="M138" s="52">
        <f t="shared" si="13"/>
        <v>1</v>
      </c>
      <c r="N138" s="52">
        <f t="shared" si="13"/>
        <v>12</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202</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853</v>
      </c>
      <c r="E146" s="34">
        <v>518</v>
      </c>
      <c r="F146" s="34">
        <v>80</v>
      </c>
      <c r="G146" s="214">
        <f t="shared" si="14"/>
        <v>1451</v>
      </c>
      <c r="H146" s="37">
        <v>0</v>
      </c>
      <c r="I146" s="34">
        <v>444</v>
      </c>
      <c r="J146" s="34">
        <v>17</v>
      </c>
      <c r="K146" s="34">
        <v>0</v>
      </c>
      <c r="L146" s="38">
        <v>0</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853</v>
      </c>
      <c r="E149" s="52">
        <f t="shared" si="15"/>
        <v>518</v>
      </c>
      <c r="F149" s="52">
        <f t="shared" si="15"/>
        <v>80</v>
      </c>
      <c r="G149" s="54">
        <f t="shared" si="15"/>
        <v>1451</v>
      </c>
      <c r="H149" s="85">
        <f t="shared" si="15"/>
        <v>0</v>
      </c>
      <c r="I149" s="52">
        <f t="shared" si="15"/>
        <v>444</v>
      </c>
      <c r="J149" s="52">
        <f t="shared" si="15"/>
        <v>17</v>
      </c>
      <c r="K149" s="52">
        <f t="shared" si="15"/>
        <v>0</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203</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v>1</v>
      </c>
      <c r="E159" s="34">
        <v>3</v>
      </c>
      <c r="F159" s="34">
        <v>2</v>
      </c>
      <c r="G159" s="38">
        <v>0</v>
      </c>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1</v>
      </c>
      <c r="E162" s="52">
        <f>SUM(E155:E160)</f>
        <v>3</v>
      </c>
      <c r="F162" s="52">
        <f>SUM(F155:F160)</f>
        <v>2</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42" t="s">
        <v>204</v>
      </c>
      <c r="C166" s="230">
        <f>SUM(C167:C169)</f>
        <v>0</v>
      </c>
      <c r="D166" s="230">
        <f t="shared" ref="D166:I166" si="16">SUM(D167:D169)</f>
        <v>0</v>
      </c>
      <c r="E166" s="230">
        <f t="shared" si="16"/>
        <v>0</v>
      </c>
      <c r="F166" s="230">
        <f t="shared" si="16"/>
        <v>0</v>
      </c>
      <c r="G166" s="230">
        <f t="shared" si="16"/>
        <v>592732.36</v>
      </c>
      <c r="H166" s="230">
        <f t="shared" si="16"/>
        <v>0</v>
      </c>
      <c r="I166" s="231">
        <f t="shared" si="16"/>
        <v>0</v>
      </c>
    </row>
    <row r="167" spans="1:9" ht="15.75" customHeight="1" x14ac:dyDescent="0.25">
      <c r="A167" s="232" t="s">
        <v>111</v>
      </c>
      <c r="B167" s="643"/>
      <c r="C167" s="78"/>
      <c r="D167" s="78"/>
      <c r="E167" s="78"/>
      <c r="F167" s="82"/>
      <c r="G167" s="78">
        <v>491497.78</v>
      </c>
      <c r="H167" s="78"/>
      <c r="I167" s="233"/>
    </row>
    <row r="168" spans="1:9" ht="15.75" x14ac:dyDescent="0.25">
      <c r="A168" s="232" t="s">
        <v>112</v>
      </c>
      <c r="B168" s="643"/>
      <c r="C168" s="78"/>
      <c r="D168" s="78"/>
      <c r="E168" s="78"/>
      <c r="F168" s="82"/>
      <c r="G168" s="78">
        <v>101234.58</v>
      </c>
      <c r="H168" s="78"/>
      <c r="I168" s="233"/>
    </row>
    <row r="169" spans="1:9" ht="24" customHeight="1" x14ac:dyDescent="0.25">
      <c r="A169" s="232" t="s">
        <v>113</v>
      </c>
      <c r="B169" s="643"/>
      <c r="C169" s="78"/>
      <c r="D169" s="78"/>
      <c r="E169" s="78"/>
      <c r="F169" s="82"/>
      <c r="G169" s="78">
        <v>0</v>
      </c>
      <c r="H169" s="78"/>
      <c r="I169" s="233"/>
    </row>
    <row r="170" spans="1:9" ht="204" x14ac:dyDescent="0.25">
      <c r="A170" s="234" t="s">
        <v>114</v>
      </c>
      <c r="B170" s="243" t="s">
        <v>205</v>
      </c>
      <c r="C170" s="78"/>
      <c r="D170" s="78"/>
      <c r="E170" s="78"/>
      <c r="F170" s="82"/>
      <c r="G170" s="289">
        <v>372259.58</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964991.94</v>
      </c>
      <c r="H171" s="236">
        <f t="shared" si="17"/>
        <v>0</v>
      </c>
      <c r="I171" s="86">
        <f t="shared" si="17"/>
        <v>0</v>
      </c>
    </row>
  </sheetData>
  <mergeCells count="50">
    <mergeCell ref="A142:B149"/>
    <mergeCell ref="A155:B162"/>
    <mergeCell ref="B166:B169"/>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B52" workbookViewId="0">
      <selection activeCell="K65" sqref="K65"/>
    </sheetView>
  </sheetViews>
  <sheetFormatPr defaultColWidth="8.85546875" defaultRowHeight="15" x14ac:dyDescent="0.25"/>
  <cols>
    <col min="1" max="1" width="87.28515625" customWidth="1"/>
    <col min="2" max="2" width="29.42578125" customWidth="1"/>
    <col min="3" max="3" width="15.7109375" customWidth="1"/>
    <col min="4" max="4" width="18.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206</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207</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52">
        <v>21</v>
      </c>
      <c r="E16" s="34"/>
      <c r="F16" s="34">
        <v>1</v>
      </c>
      <c r="G16" s="35">
        <v>1</v>
      </c>
      <c r="H16" s="36">
        <f t="shared" si="0"/>
        <v>23</v>
      </c>
      <c r="I16" s="37">
        <v>4</v>
      </c>
      <c r="J16" s="34"/>
      <c r="K16" s="34">
        <v>1</v>
      </c>
      <c r="L16" s="34"/>
      <c r="M16" s="34"/>
      <c r="N16" s="34">
        <v>10</v>
      </c>
      <c r="O16" s="38">
        <v>8</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137.25" customHeight="1" thickBot="1" x14ac:dyDescent="0.3">
      <c r="A19" s="536"/>
      <c r="B19" s="537"/>
      <c r="C19" s="50" t="s">
        <v>14</v>
      </c>
      <c r="D19" s="51">
        <f>SUM(D12:D18)</f>
        <v>21</v>
      </c>
      <c r="E19" s="52">
        <f>SUM(E12:E18)</f>
        <v>0</v>
      </c>
      <c r="F19" s="52">
        <f>SUM(F12:F18)</f>
        <v>1</v>
      </c>
      <c r="G19" s="53">
        <v>1</v>
      </c>
      <c r="H19" s="54">
        <v>23</v>
      </c>
      <c r="I19" s="85">
        <f>SUM(I12:I18)</f>
        <v>4</v>
      </c>
      <c r="J19" s="52"/>
      <c r="K19" s="52">
        <f>SUM(K12:K18)</f>
        <v>1</v>
      </c>
      <c r="L19" s="52">
        <f>SUM(L12:L18)</f>
        <v>0</v>
      </c>
      <c r="M19" s="52">
        <f>SUM(M12:M18)</f>
        <v>0</v>
      </c>
      <c r="N19" s="52">
        <f>SUM(N12:N18)</f>
        <v>10</v>
      </c>
      <c r="O19" s="86">
        <f>SUM(O12:O18)</f>
        <v>8</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377" t="s">
        <v>23</v>
      </c>
      <c r="C22" s="533"/>
      <c r="D22" s="62" t="s">
        <v>10</v>
      </c>
      <c r="E22" s="63" t="s">
        <v>11</v>
      </c>
      <c r="F22" s="63" t="s">
        <v>12</v>
      </c>
      <c r="G22" s="64" t="s">
        <v>13</v>
      </c>
      <c r="H22" s="25" t="s">
        <v>14</v>
      </c>
    </row>
    <row r="23" spans="1:17" ht="15" customHeight="1" x14ac:dyDescent="0.25">
      <c r="A23" s="534" t="s">
        <v>208</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58">
        <v>3522</v>
      </c>
      <c r="E27" s="34"/>
      <c r="F27" s="34">
        <v>24</v>
      </c>
      <c r="G27" s="271">
        <v>20000</v>
      </c>
      <c r="H27" s="36">
        <f t="shared" si="1"/>
        <v>23546</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3522</v>
      </c>
      <c r="E30" s="52">
        <f>SUM(E23:E29)</f>
        <v>0</v>
      </c>
      <c r="F30" s="52">
        <f>SUM(F23:F29)</f>
        <v>24</v>
      </c>
      <c r="G30" s="52">
        <f>SUM(G23:G29)</f>
        <v>20000</v>
      </c>
      <c r="H30" s="54">
        <f t="shared" ref="H30" si="2">SUM(D30:F30)</f>
        <v>3546</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2</v>
      </c>
      <c r="E40" s="37">
        <v>2</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2</v>
      </c>
      <c r="E43" s="85">
        <f t="shared" ref="E43:J43" si="3">SUM(E36:E42)</f>
        <v>2</v>
      </c>
      <c r="F43" s="52">
        <f t="shared" si="3"/>
        <v>0</v>
      </c>
      <c r="G43" s="52">
        <f t="shared" si="3"/>
        <v>0</v>
      </c>
      <c r="H43" s="52">
        <f t="shared" si="3"/>
        <v>0</v>
      </c>
      <c r="I43" s="52">
        <f t="shared" si="3"/>
        <v>0</v>
      </c>
      <c r="J43" s="52">
        <f t="shared" si="3"/>
        <v>0</v>
      </c>
      <c r="K43" s="86">
        <f>SUM(K36:K42)</f>
        <v>0</v>
      </c>
    </row>
    <row r="44" spans="1:13" ht="15" customHeight="1" x14ac:dyDescent="0.25">
      <c r="B44" s="10"/>
    </row>
    <row r="45" spans="1:13" hidden="1"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209</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8</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114.75" customHeight="1" thickBot="1" x14ac:dyDescent="0.3">
      <c r="A70" s="536"/>
      <c r="B70" s="537"/>
      <c r="C70" s="50" t="s">
        <v>14</v>
      </c>
      <c r="D70" s="51">
        <f t="shared" ref="D70:K70" si="5">SUM(D63:D69)</f>
        <v>1</v>
      </c>
      <c r="E70" s="52">
        <f t="shared" si="5"/>
        <v>8</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375" t="s">
        <v>6</v>
      </c>
      <c r="D94" s="139" t="s">
        <v>51</v>
      </c>
      <c r="E94" s="140"/>
      <c r="F94" s="140"/>
      <c r="G94" s="141"/>
      <c r="H94" s="11"/>
      <c r="I94" s="11"/>
      <c r="J94" s="11"/>
      <c r="K94" s="11"/>
      <c r="O94" s="9"/>
      <c r="P94" s="9"/>
    </row>
    <row r="95" spans="1:17" s="9" customFormat="1" ht="64.5" x14ac:dyDescent="0.25">
      <c r="A95" s="559"/>
      <c r="B95" s="561"/>
      <c r="C95" s="37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52">
        <v>64</v>
      </c>
      <c r="E99" s="34"/>
      <c r="F99" s="34"/>
      <c r="G99" s="144">
        <f t="shared" si="8"/>
        <v>64</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64</v>
      </c>
      <c r="E102" s="52">
        <f>SUM(E95:E101)</f>
        <v>0</v>
      </c>
      <c r="F102" s="52">
        <f>SUM(F95:F101)</f>
        <v>0</v>
      </c>
      <c r="G102" s="145">
        <f>SUM(G95:G101)</f>
        <v>64</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74"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210</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5</v>
      </c>
      <c r="E135" s="34">
        <v>5</v>
      </c>
      <c r="F135" s="34">
        <v>2</v>
      </c>
      <c r="G135" s="203">
        <v>12</v>
      </c>
      <c r="H135" s="101">
        <v>27</v>
      </c>
      <c r="I135" s="37">
        <v>3</v>
      </c>
      <c r="J135" s="34"/>
      <c r="K135" s="34">
        <v>1</v>
      </c>
      <c r="L135" s="34"/>
      <c r="M135" s="34"/>
      <c r="N135" s="34">
        <v>8</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5</v>
      </c>
      <c r="E138" s="52">
        <f>SUM(E131:E137)</f>
        <v>5</v>
      </c>
      <c r="F138" s="52">
        <f>SUM(F131:F137)</f>
        <v>2</v>
      </c>
      <c r="G138" s="205">
        <f t="shared" ref="G138:O138" si="13">SUM(G131:G137)</f>
        <v>12</v>
      </c>
      <c r="H138" s="206">
        <f t="shared" si="13"/>
        <v>27</v>
      </c>
      <c r="I138" s="85">
        <f t="shared" si="13"/>
        <v>3</v>
      </c>
      <c r="J138" s="52">
        <f t="shared" si="13"/>
        <v>0</v>
      </c>
      <c r="K138" s="52">
        <f t="shared" si="13"/>
        <v>1</v>
      </c>
      <c r="L138" s="52">
        <f t="shared" si="13"/>
        <v>0</v>
      </c>
      <c r="M138" s="52">
        <f t="shared" si="13"/>
        <v>0</v>
      </c>
      <c r="N138" s="52">
        <f t="shared" si="13"/>
        <v>8</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211</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52">
        <v>450</v>
      </c>
      <c r="E146" s="34">
        <v>493</v>
      </c>
      <c r="F146" s="34"/>
      <c r="G146" s="214">
        <f t="shared" si="14"/>
        <v>943</v>
      </c>
      <c r="H146" s="37"/>
      <c r="I146" s="353">
        <v>380</v>
      </c>
      <c r="J146" s="34">
        <v>41</v>
      </c>
      <c r="K146" s="34">
        <v>59</v>
      </c>
      <c r="L146" s="38">
        <v>463</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39.75" customHeight="1" thickBot="1" x14ac:dyDescent="0.3">
      <c r="A149" s="536"/>
      <c r="B149" s="537"/>
      <c r="C149" s="50" t="s">
        <v>14</v>
      </c>
      <c r="D149" s="51">
        <f t="shared" ref="D149:L149" si="15">SUM(D142:D148)</f>
        <v>450</v>
      </c>
      <c r="E149" s="52">
        <f t="shared" si="15"/>
        <v>493</v>
      </c>
      <c r="F149" s="52">
        <f t="shared" si="15"/>
        <v>0</v>
      </c>
      <c r="G149" s="54">
        <f t="shared" si="15"/>
        <v>943</v>
      </c>
      <c r="H149" s="85">
        <f t="shared" si="15"/>
        <v>0</v>
      </c>
      <c r="I149" s="52">
        <f t="shared" si="15"/>
        <v>380</v>
      </c>
      <c r="J149" s="52">
        <f t="shared" si="15"/>
        <v>41</v>
      </c>
      <c r="K149" s="52">
        <f t="shared" si="15"/>
        <v>59</v>
      </c>
      <c r="L149" s="86">
        <f t="shared" si="15"/>
        <v>463</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372">
        <v>399685.96</v>
      </c>
      <c r="H166" s="230">
        <f t="shared" si="16"/>
        <v>0</v>
      </c>
      <c r="I166" s="231">
        <f t="shared" si="16"/>
        <v>0</v>
      </c>
    </row>
    <row r="167" spans="1:9" ht="15.75" x14ac:dyDescent="0.25">
      <c r="A167" s="232" t="s">
        <v>111</v>
      </c>
      <c r="B167" s="243"/>
      <c r="C167" s="78"/>
      <c r="D167" s="78"/>
      <c r="E167" s="78"/>
      <c r="F167" s="82"/>
      <c r="G167" s="289">
        <v>377093.96</v>
      </c>
      <c r="H167" s="78"/>
      <c r="I167" s="233"/>
    </row>
    <row r="168" spans="1:9" ht="25.5" x14ac:dyDescent="0.25">
      <c r="A168" s="232" t="s">
        <v>112</v>
      </c>
      <c r="B168" s="243" t="s">
        <v>212</v>
      </c>
      <c r="C168" s="78"/>
      <c r="D168" s="78"/>
      <c r="E168" s="78"/>
      <c r="F168" s="82"/>
      <c r="G168" s="382">
        <v>22592</v>
      </c>
      <c r="H168" s="78"/>
      <c r="I168" s="233"/>
    </row>
    <row r="169" spans="1:9" ht="15.75" x14ac:dyDescent="0.25">
      <c r="A169" s="232" t="s">
        <v>113</v>
      </c>
      <c r="B169" s="243"/>
      <c r="C169" s="78"/>
      <c r="D169" s="78"/>
      <c r="E169" s="78"/>
      <c r="F169" s="82"/>
      <c r="G169" s="78"/>
      <c r="H169" s="78"/>
      <c r="I169" s="233"/>
    </row>
    <row r="170" spans="1:9" ht="31.5" x14ac:dyDescent="0.25">
      <c r="A170" s="234" t="s">
        <v>114</v>
      </c>
      <c r="B170" s="243"/>
      <c r="C170" s="78"/>
      <c r="D170" s="78"/>
      <c r="E170" s="78"/>
      <c r="F170" s="82"/>
      <c r="G170" s="289">
        <v>304060.45</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703746.41</v>
      </c>
      <c r="H171" s="236">
        <f t="shared" si="17"/>
        <v>0</v>
      </c>
      <c r="I171" s="86">
        <f t="shared" si="17"/>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8" workbookViewId="0">
      <selection activeCell="C21" sqref="C21:C22"/>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c r="I2" s="644" t="s">
        <v>213</v>
      </c>
      <c r="J2" s="644"/>
      <c r="K2" s="644"/>
    </row>
    <row r="3" spans="1:17" s="2" customFormat="1" ht="15.75" x14ac:dyDescent="0.25">
      <c r="A3" s="3" t="s">
        <v>1</v>
      </c>
      <c r="I3" s="644"/>
      <c r="J3" s="644"/>
      <c r="K3" s="644"/>
    </row>
    <row r="4" spans="1:17" s="2" customFormat="1" ht="15.75" x14ac:dyDescent="0.25">
      <c r="A4" s="4" t="s">
        <v>214</v>
      </c>
      <c r="I4" s="644"/>
      <c r="J4" s="644"/>
      <c r="K4" s="644"/>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215</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20</v>
      </c>
      <c r="E16" s="34"/>
      <c r="F16" s="34"/>
      <c r="G16" s="35">
        <v>1</v>
      </c>
      <c r="H16" s="36">
        <f t="shared" si="0"/>
        <v>21</v>
      </c>
      <c r="I16" s="37"/>
      <c r="J16" s="34">
        <v>1</v>
      </c>
      <c r="K16" s="34">
        <v>4</v>
      </c>
      <c r="L16" s="34"/>
      <c r="M16" s="34"/>
      <c r="N16" s="34">
        <v>10</v>
      </c>
      <c r="O16" s="38">
        <v>6</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20</v>
      </c>
      <c r="E19" s="52">
        <f>SUM(E12:E18)</f>
        <v>0</v>
      </c>
      <c r="F19" s="52">
        <f>SUM(F12:F18)</f>
        <v>0</v>
      </c>
      <c r="G19" s="53">
        <f>SUM(G12:G18)</f>
        <v>1</v>
      </c>
      <c r="H19" s="54">
        <f>SUM(D19:G19)</f>
        <v>21</v>
      </c>
      <c r="I19" s="85">
        <f>SUM(I12:I18)</f>
        <v>0</v>
      </c>
      <c r="J19" s="52"/>
      <c r="K19" s="52">
        <f>SUM(K12:K18)</f>
        <v>4</v>
      </c>
      <c r="L19" s="52">
        <f>SUM(L12:L18)</f>
        <v>0</v>
      </c>
      <c r="M19" s="52">
        <f>SUM(M12:M18)</f>
        <v>0</v>
      </c>
      <c r="N19" s="52">
        <f>SUM(N12:N18)</f>
        <v>10</v>
      </c>
      <c r="O19" s="86">
        <f>SUM(O12:O18)</f>
        <v>6</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378" t="s">
        <v>23</v>
      </c>
      <c r="C22" s="533"/>
      <c r="D22" s="62" t="s">
        <v>10</v>
      </c>
      <c r="E22" s="63" t="s">
        <v>11</v>
      </c>
      <c r="F22" s="63" t="s">
        <v>12</v>
      </c>
      <c r="G22" s="64" t="s">
        <v>13</v>
      </c>
      <c r="H22" s="25" t="s">
        <v>14</v>
      </c>
    </row>
    <row r="23" spans="1:17" ht="15" customHeight="1" x14ac:dyDescent="0.25">
      <c r="A23" s="534" t="s">
        <v>216</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1895</v>
      </c>
      <c r="E27" s="34"/>
      <c r="F27" s="34"/>
      <c r="G27" s="35">
        <v>33</v>
      </c>
      <c r="H27" s="36">
        <f t="shared" si="1"/>
        <v>1928</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1895</v>
      </c>
      <c r="E30" s="52">
        <f>SUM(E23:E29)</f>
        <v>0</v>
      </c>
      <c r="F30" s="52">
        <f>SUM(F23:F29)</f>
        <v>0</v>
      </c>
      <c r="G30" s="52">
        <f>SUM(G23:G29)</f>
        <v>33</v>
      </c>
      <c r="H30" s="54">
        <f t="shared" ref="H30" si="2">SUM(D30:F30)</f>
        <v>1895</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217</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1</v>
      </c>
      <c r="E40" s="37"/>
      <c r="F40" s="34"/>
      <c r="G40" s="34"/>
      <c r="H40" s="34"/>
      <c r="I40" s="34"/>
      <c r="J40" s="34">
        <v>1</v>
      </c>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1</v>
      </c>
      <c r="E43" s="85">
        <f t="shared" ref="E43:J43" si="3">SUM(E36:E42)</f>
        <v>0</v>
      </c>
      <c r="F43" s="52">
        <f t="shared" si="3"/>
        <v>0</v>
      </c>
      <c r="G43" s="52">
        <f t="shared" si="3"/>
        <v>0</v>
      </c>
      <c r="H43" s="52">
        <f t="shared" si="3"/>
        <v>0</v>
      </c>
      <c r="I43" s="52">
        <f t="shared" si="3"/>
        <v>0</v>
      </c>
      <c r="J43" s="52">
        <f t="shared" si="3"/>
        <v>1</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218</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6</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6</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379" t="s">
        <v>6</v>
      </c>
      <c r="D94" s="139" t="s">
        <v>51</v>
      </c>
      <c r="E94" s="140"/>
      <c r="F94" s="140"/>
      <c r="G94" s="141"/>
      <c r="H94" s="11"/>
      <c r="I94" s="11"/>
      <c r="J94" s="11"/>
      <c r="K94" s="11"/>
      <c r="O94" s="9"/>
      <c r="P94" s="9"/>
    </row>
    <row r="95" spans="1:17" s="9" customFormat="1" ht="64.5" x14ac:dyDescent="0.25">
      <c r="A95" s="559"/>
      <c r="B95" s="561"/>
      <c r="C95" s="380"/>
      <c r="D95" s="115" t="s">
        <v>52</v>
      </c>
      <c r="E95" s="116" t="s">
        <v>53</v>
      </c>
      <c r="F95" s="116" t="s">
        <v>54</v>
      </c>
      <c r="G95" s="143" t="s">
        <v>14</v>
      </c>
      <c r="H95" s="11"/>
      <c r="I95" s="11"/>
      <c r="J95" s="11"/>
      <c r="K95" s="11"/>
      <c r="L95" s="11"/>
      <c r="M95" s="11"/>
      <c r="N95" s="11"/>
    </row>
    <row r="96" spans="1:17" s="11" customFormat="1" ht="26.25" customHeight="1" x14ac:dyDescent="0.25">
      <c r="A96" s="534" t="s">
        <v>219</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44</v>
      </c>
      <c r="E99" s="34"/>
      <c r="F99" s="34"/>
      <c r="G99" s="144">
        <f t="shared" si="8"/>
        <v>44</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44</v>
      </c>
      <c r="E102" s="52">
        <f>SUM(E95:E101)</f>
        <v>0</v>
      </c>
      <c r="F102" s="52">
        <f>SUM(F95:F101)</f>
        <v>0</v>
      </c>
      <c r="G102" s="145">
        <f>SUM(G95:G101)</f>
        <v>44</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81"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220</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8</v>
      </c>
      <c r="E135" s="34">
        <v>3</v>
      </c>
      <c r="F135" s="34"/>
      <c r="G135" s="203">
        <f t="shared" si="12"/>
        <v>11</v>
      </c>
      <c r="H135" s="101">
        <v>29</v>
      </c>
      <c r="I135" s="37"/>
      <c r="J135" s="34"/>
      <c r="K135" s="34">
        <v>2</v>
      </c>
      <c r="L135" s="34"/>
      <c r="M135" s="34"/>
      <c r="N135" s="34">
        <v>9</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8</v>
      </c>
      <c r="E138" s="52">
        <f>SUM(E131:E137)</f>
        <v>3</v>
      </c>
      <c r="F138" s="52">
        <f>SUM(F131:F137)</f>
        <v>0</v>
      </c>
      <c r="G138" s="205">
        <f t="shared" ref="G138:O138" si="13">SUM(G131:G137)</f>
        <v>11</v>
      </c>
      <c r="H138" s="206">
        <f t="shared" si="13"/>
        <v>29</v>
      </c>
      <c r="I138" s="85">
        <f t="shared" si="13"/>
        <v>0</v>
      </c>
      <c r="J138" s="52">
        <f t="shared" si="13"/>
        <v>0</v>
      </c>
      <c r="K138" s="52">
        <f t="shared" si="13"/>
        <v>2</v>
      </c>
      <c r="L138" s="52">
        <f t="shared" si="13"/>
        <v>0</v>
      </c>
      <c r="M138" s="52">
        <f t="shared" si="13"/>
        <v>0</v>
      </c>
      <c r="N138" s="52">
        <f t="shared" si="13"/>
        <v>9</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221</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1021</v>
      </c>
      <c r="E146" s="34">
        <v>584</v>
      </c>
      <c r="F146" s="34"/>
      <c r="G146" s="214">
        <f t="shared" si="14"/>
        <v>1605</v>
      </c>
      <c r="H146" s="37"/>
      <c r="I146" s="34">
        <v>149</v>
      </c>
      <c r="J146" s="34"/>
      <c r="K146" s="34">
        <v>1302</v>
      </c>
      <c r="L146" s="38">
        <v>154</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66.5" customHeight="1" thickBot="1" x14ac:dyDescent="0.3">
      <c r="A149" s="536"/>
      <c r="B149" s="537"/>
      <c r="C149" s="50" t="s">
        <v>14</v>
      </c>
      <c r="D149" s="51">
        <f t="shared" ref="D149:L149" si="15">SUM(D142:D148)</f>
        <v>1021</v>
      </c>
      <c r="E149" s="52">
        <f t="shared" si="15"/>
        <v>584</v>
      </c>
      <c r="F149" s="52">
        <f t="shared" si="15"/>
        <v>0</v>
      </c>
      <c r="G149" s="54">
        <f t="shared" si="15"/>
        <v>1605</v>
      </c>
      <c r="H149" s="85">
        <f t="shared" si="15"/>
        <v>0</v>
      </c>
      <c r="I149" s="52">
        <f t="shared" si="15"/>
        <v>149</v>
      </c>
      <c r="J149" s="52">
        <f t="shared" si="15"/>
        <v>0</v>
      </c>
      <c r="K149" s="52">
        <f t="shared" si="15"/>
        <v>1302</v>
      </c>
      <c r="L149" s="86">
        <f t="shared" si="15"/>
        <v>154</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230">
        <f t="shared" si="16"/>
        <v>324185.68</v>
      </c>
      <c r="H166" s="230">
        <f t="shared" si="16"/>
        <v>0</v>
      </c>
      <c r="I166" s="231">
        <f t="shared" si="16"/>
        <v>0</v>
      </c>
    </row>
    <row r="167" spans="1:9" ht="15.75" x14ac:dyDescent="0.25">
      <c r="A167" s="232" t="s">
        <v>111</v>
      </c>
      <c r="B167" s="243"/>
      <c r="C167" s="78"/>
      <c r="D167" s="78"/>
      <c r="E167" s="78"/>
      <c r="F167" s="82"/>
      <c r="G167" s="78">
        <v>321725.68</v>
      </c>
      <c r="H167" s="78"/>
      <c r="I167" s="233"/>
    </row>
    <row r="168" spans="1:9" ht="15.75" x14ac:dyDescent="0.25">
      <c r="A168" s="232" t="s">
        <v>112</v>
      </c>
      <c r="B168" s="243"/>
      <c r="C168" s="78"/>
      <c r="D168" s="78"/>
      <c r="E168" s="78"/>
      <c r="F168" s="82"/>
      <c r="G168" s="78">
        <v>2460</v>
      </c>
      <c r="H168" s="78"/>
      <c r="I168" s="233"/>
    </row>
    <row r="169" spans="1:9" ht="15.75" x14ac:dyDescent="0.25">
      <c r="A169" s="232" t="s">
        <v>113</v>
      </c>
      <c r="B169" s="243"/>
      <c r="C169" s="78"/>
      <c r="D169" s="78"/>
      <c r="E169" s="78"/>
      <c r="F169" s="82"/>
      <c r="G169" s="78"/>
      <c r="H169" s="78"/>
      <c r="I169" s="233"/>
    </row>
    <row r="170" spans="1:9" ht="31.5" x14ac:dyDescent="0.25">
      <c r="A170" s="234" t="s">
        <v>114</v>
      </c>
      <c r="B170" s="243"/>
      <c r="C170" s="78"/>
      <c r="D170" s="78"/>
      <c r="E170" s="78"/>
      <c r="F170" s="82"/>
      <c r="G170" s="78">
        <v>321639.59999999998</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645825.28000000003</v>
      </c>
      <c r="H171" s="236">
        <f t="shared" si="17"/>
        <v>0</v>
      </c>
      <c r="I171" s="86">
        <f t="shared" si="17"/>
        <v>0</v>
      </c>
    </row>
  </sheetData>
  <mergeCells count="50">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A48:A49"/>
    <mergeCell ref="B48:B49"/>
    <mergeCell ref="C48:C49"/>
    <mergeCell ref="D48:D49"/>
    <mergeCell ref="I2:K4"/>
    <mergeCell ref="B10:B11"/>
    <mergeCell ref="C10:C11"/>
    <mergeCell ref="A12:B19"/>
    <mergeCell ref="C21:C22"/>
    <mergeCell ref="A23:B30"/>
    <mergeCell ref="A34:A35"/>
    <mergeCell ref="B34:B35"/>
    <mergeCell ref="C34:C35"/>
    <mergeCell ref="D34:D35"/>
    <mergeCell ref="A36:B4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5"/>
  <sheetViews>
    <sheetView topLeftCell="A58" workbookViewId="0">
      <selection activeCell="E159" sqref="E15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222</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223</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35</v>
      </c>
      <c r="E16" s="34"/>
      <c r="F16" s="34">
        <v>3</v>
      </c>
      <c r="G16" s="35">
        <v>12</v>
      </c>
      <c r="H16" s="36">
        <f t="shared" si="0"/>
        <v>50</v>
      </c>
      <c r="I16" s="37">
        <v>8</v>
      </c>
      <c r="J16" s="34">
        <v>2</v>
      </c>
      <c r="K16" s="34">
        <v>8</v>
      </c>
      <c r="L16" s="34">
        <v>2</v>
      </c>
      <c r="M16" s="34"/>
      <c r="N16" s="34">
        <v>29</v>
      </c>
      <c r="O16" s="38">
        <v>1</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35</v>
      </c>
      <c r="E19" s="52">
        <f>SUM(E12:E18)</f>
        <v>0</v>
      </c>
      <c r="F19" s="52">
        <f>SUM(F12:F18)</f>
        <v>3</v>
      </c>
      <c r="G19" s="53"/>
      <c r="H19" s="54">
        <f>SUM(D19:F19)</f>
        <v>38</v>
      </c>
      <c r="I19" s="85">
        <f>SUM(I12:I18)</f>
        <v>8</v>
      </c>
      <c r="J19" s="52"/>
      <c r="K19" s="52">
        <f>SUM(K12:K18)</f>
        <v>8</v>
      </c>
      <c r="L19" s="52">
        <f>SUM(L12:L18)</f>
        <v>2</v>
      </c>
      <c r="M19" s="52">
        <f>SUM(M12:M18)</f>
        <v>0</v>
      </c>
      <c r="N19" s="52">
        <f>SUM(N12:N18)</f>
        <v>29</v>
      </c>
      <c r="O19" s="86">
        <f>SUM(O12:O18)</f>
        <v>1</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92" t="s">
        <v>23</v>
      </c>
      <c r="C22" s="533"/>
      <c r="D22" s="62" t="s">
        <v>10</v>
      </c>
      <c r="E22" s="63" t="s">
        <v>11</v>
      </c>
      <c r="F22" s="63" t="s">
        <v>12</v>
      </c>
      <c r="G22" s="64" t="s">
        <v>13</v>
      </c>
      <c r="H22" s="25" t="s">
        <v>14</v>
      </c>
    </row>
    <row r="23" spans="1:17" ht="15" customHeight="1" x14ac:dyDescent="0.25">
      <c r="A23" s="534" t="s">
        <v>224</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4673</v>
      </c>
      <c r="E27" s="34"/>
      <c r="F27" s="34">
        <v>439</v>
      </c>
      <c r="G27" s="35">
        <v>715527</v>
      </c>
      <c r="H27" s="36">
        <f t="shared" si="1"/>
        <v>720639</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53.25" customHeight="1" thickBot="1" x14ac:dyDescent="0.3">
      <c r="A30" s="536"/>
      <c r="B30" s="537"/>
      <c r="C30" s="50" t="s">
        <v>14</v>
      </c>
      <c r="D30" s="51">
        <f>SUM(D23:D29)</f>
        <v>4673</v>
      </c>
      <c r="E30" s="52">
        <f>SUM(E23:E29)</f>
        <v>0</v>
      </c>
      <c r="F30" s="52">
        <f>SUM(F23:F29)</f>
        <v>439</v>
      </c>
      <c r="G30" s="52">
        <f>SUM(G23:G29)</f>
        <v>715527</v>
      </c>
      <c r="H30" s="54">
        <f t="shared" ref="H30" si="2">SUM(D30:F30)</f>
        <v>5112</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225</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34</v>
      </c>
      <c r="E40" s="37">
        <v>4</v>
      </c>
      <c r="F40" s="34"/>
      <c r="G40" s="34">
        <v>3</v>
      </c>
      <c r="H40" s="34"/>
      <c r="I40" s="34"/>
      <c r="J40" s="34">
        <v>27</v>
      </c>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34</v>
      </c>
      <c r="E43" s="85">
        <f t="shared" ref="E43:J43" si="3">SUM(E36:E42)</f>
        <v>4</v>
      </c>
      <c r="F43" s="52">
        <f t="shared" si="3"/>
        <v>0</v>
      </c>
      <c r="G43" s="52">
        <f t="shared" si="3"/>
        <v>3</v>
      </c>
      <c r="H43" s="52">
        <f t="shared" si="3"/>
        <v>0</v>
      </c>
      <c r="I43" s="52">
        <f t="shared" si="3"/>
        <v>0</v>
      </c>
      <c r="J43" s="52">
        <f t="shared" si="3"/>
        <v>27</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226</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17</v>
      </c>
      <c r="E54" s="37">
        <v>4</v>
      </c>
      <c r="F54" s="34"/>
      <c r="G54" s="34">
        <v>5</v>
      </c>
      <c r="H54" s="34"/>
      <c r="I54" s="34"/>
      <c r="J54" s="34">
        <v>8</v>
      </c>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17</v>
      </c>
      <c r="E57" s="85">
        <f t="shared" si="4"/>
        <v>4</v>
      </c>
      <c r="F57" s="52">
        <f t="shared" si="4"/>
        <v>0</v>
      </c>
      <c r="G57" s="52">
        <f t="shared" si="4"/>
        <v>5</v>
      </c>
      <c r="H57" s="52">
        <f t="shared" si="4"/>
        <v>0</v>
      </c>
      <c r="I57" s="52">
        <f t="shared" si="4"/>
        <v>0</v>
      </c>
      <c r="J57" s="52">
        <f>SUM(J50:J56)</f>
        <v>8</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227</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7</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7</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93" t="s">
        <v>6</v>
      </c>
      <c r="D94" s="139" t="s">
        <v>51</v>
      </c>
      <c r="E94" s="140"/>
      <c r="F94" s="140"/>
      <c r="G94" s="141"/>
      <c r="H94" s="11"/>
      <c r="I94" s="11"/>
      <c r="J94" s="11"/>
      <c r="K94" s="11"/>
      <c r="O94" s="9"/>
      <c r="P94" s="9"/>
    </row>
    <row r="95" spans="1:17" s="9" customFormat="1" ht="64.5" x14ac:dyDescent="0.25">
      <c r="A95" s="559"/>
      <c r="B95" s="561"/>
      <c r="C95" s="494"/>
      <c r="D95" s="115" t="s">
        <v>52</v>
      </c>
      <c r="E95" s="116" t="s">
        <v>53</v>
      </c>
      <c r="F95" s="116" t="s">
        <v>54</v>
      </c>
      <c r="G95" s="143" t="s">
        <v>14</v>
      </c>
      <c r="H95" s="11"/>
      <c r="I95" s="11"/>
      <c r="J95" s="11"/>
      <c r="K95" s="11"/>
      <c r="L95" s="11"/>
      <c r="M95" s="11"/>
      <c r="N95" s="11"/>
    </row>
    <row r="96" spans="1:17" s="11" customFormat="1" ht="26.25" customHeight="1" x14ac:dyDescent="0.25">
      <c r="A96" s="534" t="s">
        <v>228</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95</v>
      </c>
      <c r="E99" s="34"/>
      <c r="F99" s="34"/>
      <c r="G99" s="144">
        <f t="shared" si="8"/>
        <v>95</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95</v>
      </c>
      <c r="E102" s="52">
        <f>SUM(E95:E101)</f>
        <v>0</v>
      </c>
      <c r="F102" s="52">
        <f>SUM(F95:F101)</f>
        <v>0</v>
      </c>
      <c r="G102" s="145">
        <f>SUM(G95:G101)</f>
        <v>95</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95"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229</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41</v>
      </c>
      <c r="E135" s="34">
        <v>17</v>
      </c>
      <c r="F135" s="34">
        <v>4</v>
      </c>
      <c r="G135" s="203">
        <f t="shared" si="12"/>
        <v>58</v>
      </c>
      <c r="H135" s="101">
        <v>63</v>
      </c>
      <c r="I135" s="37">
        <v>14</v>
      </c>
      <c r="J135" s="34">
        <v>4</v>
      </c>
      <c r="K135" s="34">
        <v>2</v>
      </c>
      <c r="L135" s="34">
        <v>20</v>
      </c>
      <c r="M135" s="34"/>
      <c r="N135" s="34">
        <v>22</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41</v>
      </c>
      <c r="E138" s="52">
        <f>SUM(E131:E137)</f>
        <v>17</v>
      </c>
      <c r="F138" s="52">
        <f>SUM(F131:F137)</f>
        <v>4</v>
      </c>
      <c r="G138" s="205">
        <f t="shared" ref="G138:O138" si="13">SUM(G131:G137)</f>
        <v>58</v>
      </c>
      <c r="H138" s="206">
        <f t="shared" si="13"/>
        <v>63</v>
      </c>
      <c r="I138" s="85">
        <f t="shared" si="13"/>
        <v>14</v>
      </c>
      <c r="J138" s="52">
        <f t="shared" si="13"/>
        <v>4</v>
      </c>
      <c r="K138" s="52">
        <f t="shared" si="13"/>
        <v>2</v>
      </c>
      <c r="L138" s="52">
        <f t="shared" si="13"/>
        <v>20</v>
      </c>
      <c r="M138" s="52">
        <f t="shared" si="13"/>
        <v>0</v>
      </c>
      <c r="N138" s="52">
        <f t="shared" si="13"/>
        <v>22</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230</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2541</v>
      </c>
      <c r="E146" s="34">
        <v>764</v>
      </c>
      <c r="F146" s="34">
        <v>208</v>
      </c>
      <c r="G146" s="214">
        <f t="shared" si="14"/>
        <v>3513</v>
      </c>
      <c r="H146" s="37"/>
      <c r="I146" s="34">
        <v>249</v>
      </c>
      <c r="J146" s="34">
        <v>75</v>
      </c>
      <c r="K146" s="34"/>
      <c r="L146" s="38">
        <v>107</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2541</v>
      </c>
      <c r="E149" s="52">
        <f t="shared" si="15"/>
        <v>764</v>
      </c>
      <c r="F149" s="52">
        <f t="shared" si="15"/>
        <v>208</v>
      </c>
      <c r="G149" s="54">
        <f t="shared" si="15"/>
        <v>3513</v>
      </c>
      <c r="H149" s="85">
        <f t="shared" si="15"/>
        <v>0</v>
      </c>
      <c r="I149" s="52">
        <f t="shared" si="15"/>
        <v>249</v>
      </c>
      <c r="J149" s="52">
        <f t="shared" si="15"/>
        <v>75</v>
      </c>
      <c r="K149" s="52">
        <f t="shared" si="15"/>
        <v>0</v>
      </c>
      <c r="L149" s="86">
        <f t="shared" si="15"/>
        <v>107</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367</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v>5</v>
      </c>
      <c r="E159" s="34">
        <v>495</v>
      </c>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5</v>
      </c>
      <c r="E162" s="52">
        <f>SUM(E155:E160)</f>
        <v>495</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496"/>
      <c r="C166" s="230">
        <f>SUM(C167:C169)</f>
        <v>0</v>
      </c>
      <c r="D166" s="230">
        <f t="shared" ref="D166:I166" si="16">SUM(D167:D169)</f>
        <v>0</v>
      </c>
      <c r="E166" s="230">
        <f t="shared" si="16"/>
        <v>0</v>
      </c>
      <c r="F166" s="230">
        <f t="shared" si="16"/>
        <v>0</v>
      </c>
      <c r="G166" s="230">
        <f>SUM(G167:G169)</f>
        <v>955446.91999999993</v>
      </c>
      <c r="H166" s="230">
        <f t="shared" si="16"/>
        <v>0</v>
      </c>
      <c r="I166" s="231">
        <f t="shared" si="16"/>
        <v>0</v>
      </c>
    </row>
    <row r="167" spans="1:9" ht="51" x14ac:dyDescent="0.25">
      <c r="A167" s="383" t="s">
        <v>111</v>
      </c>
      <c r="B167" s="384" t="s">
        <v>231</v>
      </c>
      <c r="C167" s="385"/>
      <c r="D167" s="78"/>
      <c r="E167" s="78"/>
      <c r="F167" s="82"/>
      <c r="G167" s="78">
        <v>868897.95</v>
      </c>
      <c r="H167" s="78"/>
      <c r="I167" s="233"/>
    </row>
    <row r="168" spans="1:9" ht="51" x14ac:dyDescent="0.25">
      <c r="A168" s="383" t="s">
        <v>112</v>
      </c>
      <c r="B168" s="384" t="s">
        <v>232</v>
      </c>
      <c r="C168" s="385"/>
      <c r="D168" s="78"/>
      <c r="E168" s="78"/>
      <c r="F168" s="82"/>
      <c r="G168" s="78">
        <v>86548.97</v>
      </c>
      <c r="H168" s="78"/>
      <c r="I168" s="233"/>
    </row>
    <row r="169" spans="1:9" ht="51" x14ac:dyDescent="0.25">
      <c r="A169" s="383" t="s">
        <v>113</v>
      </c>
      <c r="B169" s="384" t="s">
        <v>233</v>
      </c>
      <c r="C169" s="385"/>
      <c r="D169" s="78"/>
      <c r="E169" s="78"/>
      <c r="F169" s="82"/>
      <c r="G169" s="386">
        <v>0</v>
      </c>
      <c r="H169" s="78"/>
      <c r="I169" s="233"/>
    </row>
    <row r="170" spans="1:9" ht="207" customHeight="1" x14ac:dyDescent="0.25">
      <c r="A170" s="387" t="s">
        <v>114</v>
      </c>
      <c r="B170" s="384" t="s">
        <v>234</v>
      </c>
      <c r="C170" s="385"/>
      <c r="D170" s="78"/>
      <c r="E170" s="78"/>
      <c r="F170" s="82"/>
      <c r="G170" s="386">
        <v>229137.72</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1184584.6399999999</v>
      </c>
      <c r="H171" s="236">
        <f t="shared" si="17"/>
        <v>0</v>
      </c>
      <c r="I171" s="86">
        <f t="shared" si="17"/>
        <v>0</v>
      </c>
    </row>
    <row r="175" spans="1:9" x14ac:dyDescent="0.25">
      <c r="A175" s="388"/>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B58" workbookViewId="0">
      <selection activeCell="I107" sqref="I107"/>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369</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645" t="s">
        <v>235</v>
      </c>
      <c r="B12" s="646"/>
      <c r="C12" s="32">
        <v>2014</v>
      </c>
      <c r="D12" s="33"/>
      <c r="E12" s="34"/>
      <c r="F12" s="34"/>
      <c r="G12" s="35"/>
      <c r="H12" s="36">
        <f>SUM(D12:G12)</f>
        <v>0</v>
      </c>
      <c r="I12" s="37"/>
      <c r="J12" s="34"/>
      <c r="K12" s="34"/>
      <c r="L12" s="34"/>
      <c r="M12" s="34"/>
      <c r="N12" s="34"/>
      <c r="O12" s="38"/>
      <c r="P12" s="11"/>
      <c r="Q12" s="11"/>
    </row>
    <row r="13" spans="1:17" x14ac:dyDescent="0.25">
      <c r="A13" s="645"/>
      <c r="B13" s="646"/>
      <c r="C13" s="32">
        <v>2015</v>
      </c>
      <c r="D13" s="33"/>
      <c r="E13" s="34"/>
      <c r="F13" s="34"/>
      <c r="G13" s="35"/>
      <c r="H13" s="36">
        <f t="shared" ref="H13:H18" si="0">SUM(D13:G13)</f>
        <v>0</v>
      </c>
      <c r="I13" s="37"/>
      <c r="J13" s="34"/>
      <c r="K13" s="34"/>
      <c r="L13" s="34"/>
      <c r="M13" s="34"/>
      <c r="N13" s="34"/>
      <c r="O13" s="38"/>
      <c r="P13" s="11"/>
      <c r="Q13" s="11"/>
    </row>
    <row r="14" spans="1:17" x14ac:dyDescent="0.25">
      <c r="A14" s="645"/>
      <c r="B14" s="646"/>
      <c r="C14" s="32">
        <v>2016</v>
      </c>
      <c r="D14" s="33"/>
      <c r="E14" s="34"/>
      <c r="F14" s="34"/>
      <c r="G14" s="35"/>
      <c r="H14" s="36">
        <f t="shared" si="0"/>
        <v>0</v>
      </c>
      <c r="I14" s="37"/>
      <c r="J14" s="34"/>
      <c r="K14" s="34"/>
      <c r="L14" s="34"/>
      <c r="M14" s="34"/>
      <c r="N14" s="34"/>
      <c r="O14" s="38"/>
      <c r="P14" s="11"/>
      <c r="Q14" s="11"/>
    </row>
    <row r="15" spans="1:17" x14ac:dyDescent="0.25">
      <c r="A15" s="645"/>
      <c r="B15" s="646"/>
      <c r="C15" s="32">
        <v>2017</v>
      </c>
      <c r="D15" s="39"/>
      <c r="E15" s="40"/>
      <c r="F15" s="40"/>
      <c r="G15" s="41"/>
      <c r="H15" s="36">
        <f t="shared" si="0"/>
        <v>0</v>
      </c>
      <c r="I15" s="42"/>
      <c r="J15" s="40"/>
      <c r="K15" s="40"/>
      <c r="L15" s="40"/>
      <c r="M15" s="40"/>
      <c r="N15" s="40"/>
      <c r="O15" s="43"/>
      <c r="P15" s="11"/>
      <c r="Q15" s="11"/>
    </row>
    <row r="16" spans="1:17" x14ac:dyDescent="0.25">
      <c r="A16" s="645"/>
      <c r="B16" s="646"/>
      <c r="C16" s="32">
        <v>2018</v>
      </c>
      <c r="D16" s="389">
        <v>42</v>
      </c>
      <c r="E16" s="389"/>
      <c r="F16" s="389">
        <v>2</v>
      </c>
      <c r="G16" s="389">
        <v>50</v>
      </c>
      <c r="H16" s="36">
        <f t="shared" si="0"/>
        <v>94</v>
      </c>
      <c r="I16" s="389">
        <v>1</v>
      </c>
      <c r="J16" s="389">
        <v>23</v>
      </c>
      <c r="K16" s="389">
        <v>11</v>
      </c>
      <c r="L16" s="389">
        <v>1</v>
      </c>
      <c r="M16" s="389">
        <v>1</v>
      </c>
      <c r="N16" s="389">
        <v>57</v>
      </c>
      <c r="O16" s="38"/>
      <c r="P16" s="11"/>
      <c r="Q16" s="11"/>
    </row>
    <row r="17" spans="1:17" x14ac:dyDescent="0.25">
      <c r="A17" s="645"/>
      <c r="B17" s="646"/>
      <c r="C17" s="32">
        <v>2019</v>
      </c>
      <c r="D17" s="33"/>
      <c r="E17" s="34"/>
      <c r="F17" s="34"/>
      <c r="G17" s="35"/>
      <c r="H17" s="36">
        <f t="shared" si="0"/>
        <v>0</v>
      </c>
      <c r="I17" s="37"/>
      <c r="J17" s="34"/>
      <c r="K17" s="34"/>
      <c r="L17" s="34"/>
      <c r="M17" s="34"/>
      <c r="N17" s="34"/>
      <c r="O17" s="38"/>
      <c r="P17" s="11"/>
      <c r="Q17" s="11"/>
    </row>
    <row r="18" spans="1:17" x14ac:dyDescent="0.25">
      <c r="A18" s="645"/>
      <c r="B18" s="646"/>
      <c r="C18" s="32">
        <v>2020</v>
      </c>
      <c r="D18" s="33"/>
      <c r="E18" s="34"/>
      <c r="F18" s="34"/>
      <c r="G18" s="35"/>
      <c r="H18" s="36">
        <f t="shared" si="0"/>
        <v>0</v>
      </c>
      <c r="I18" s="37"/>
      <c r="J18" s="34"/>
      <c r="K18" s="34"/>
      <c r="L18" s="34"/>
      <c r="M18" s="34"/>
      <c r="N18" s="34"/>
      <c r="O18" s="38"/>
      <c r="P18" s="11"/>
      <c r="Q18" s="11"/>
    </row>
    <row r="19" spans="1:17" ht="77.25" customHeight="1" thickBot="1" x14ac:dyDescent="0.3">
      <c r="A19" s="647"/>
      <c r="B19" s="648"/>
      <c r="C19" s="50" t="s">
        <v>14</v>
      </c>
      <c r="D19" s="51">
        <f>SUM(D12:D18)</f>
        <v>42</v>
      </c>
      <c r="E19" s="52">
        <f>SUM(E12:E18)</f>
        <v>0</v>
      </c>
      <c r="F19" s="52">
        <f>SUM(F12:F18)</f>
        <v>2</v>
      </c>
      <c r="G19" s="53"/>
      <c r="H19" s="54">
        <f>SUM(D19:F19)</f>
        <v>44</v>
      </c>
      <c r="I19" s="85">
        <f>SUM(I12:I18)</f>
        <v>1</v>
      </c>
      <c r="J19" s="52"/>
      <c r="K19" s="52">
        <f>SUM(K12:K18)</f>
        <v>11</v>
      </c>
      <c r="L19" s="52">
        <f>SUM(L12:L18)</f>
        <v>1</v>
      </c>
      <c r="M19" s="52">
        <f>SUM(M12:M18)</f>
        <v>1</v>
      </c>
      <c r="N19" s="52">
        <f>SUM(N12:N18)</f>
        <v>57</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502"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90">
        <v>1262</v>
      </c>
      <c r="E27" s="389"/>
      <c r="F27" s="389">
        <v>59</v>
      </c>
      <c r="G27" s="389">
        <v>251400</v>
      </c>
      <c r="H27" s="36">
        <f t="shared" si="1"/>
        <v>252721</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1262</v>
      </c>
      <c r="E30" s="52">
        <f>SUM(E23:E29)</f>
        <v>0</v>
      </c>
      <c r="F30" s="52">
        <f>SUM(F23:F29)</f>
        <v>59</v>
      </c>
      <c r="G30" s="52">
        <f>SUM(G23:G29)</f>
        <v>251400</v>
      </c>
      <c r="H30" s="54">
        <f t="shared" ref="H30" si="2">SUM(D30:F30)</f>
        <v>1321</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236</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390">
        <v>9</v>
      </c>
      <c r="E40" s="390">
        <v>2</v>
      </c>
      <c r="F40" s="390">
        <v>3</v>
      </c>
      <c r="G40" s="40"/>
      <c r="H40" s="40"/>
      <c r="I40" s="390">
        <v>1</v>
      </c>
      <c r="J40" s="390">
        <v>2</v>
      </c>
      <c r="K40" s="390">
        <v>1</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9</v>
      </c>
      <c r="E43" s="85">
        <f t="shared" ref="E43:J43" si="3">SUM(E36:E42)</f>
        <v>2</v>
      </c>
      <c r="F43" s="52">
        <f t="shared" si="3"/>
        <v>3</v>
      </c>
      <c r="G43" s="52">
        <f t="shared" si="3"/>
        <v>0</v>
      </c>
      <c r="H43" s="52">
        <f t="shared" si="3"/>
        <v>0</v>
      </c>
      <c r="I43" s="52">
        <f t="shared" si="3"/>
        <v>1</v>
      </c>
      <c r="J43" s="52">
        <f t="shared" si="3"/>
        <v>2</v>
      </c>
      <c r="K43" s="86">
        <f>SUM(K36:K42)</f>
        <v>1</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16</v>
      </c>
      <c r="E54" s="37"/>
      <c r="F54" s="34"/>
      <c r="G54" s="34"/>
      <c r="H54" s="34"/>
      <c r="I54" s="34">
        <v>1</v>
      </c>
      <c r="J54" s="34">
        <v>15</v>
      </c>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16</v>
      </c>
      <c r="E57" s="85">
        <f t="shared" si="4"/>
        <v>0</v>
      </c>
      <c r="F57" s="52">
        <f t="shared" si="4"/>
        <v>0</v>
      </c>
      <c r="G57" s="52">
        <f t="shared" si="4"/>
        <v>0</v>
      </c>
      <c r="H57" s="52">
        <f t="shared" si="4"/>
        <v>0</v>
      </c>
      <c r="I57" s="52">
        <f t="shared" si="4"/>
        <v>1</v>
      </c>
      <c r="J57" s="52">
        <f>SUM(J50:J56)</f>
        <v>15</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237</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89">
        <v>1</v>
      </c>
      <c r="E67" s="391">
        <v>8</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8</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503" t="s">
        <v>6</v>
      </c>
      <c r="D94" s="139" t="s">
        <v>51</v>
      </c>
      <c r="E94" s="140"/>
      <c r="F94" s="140"/>
      <c r="G94" s="141"/>
      <c r="H94" s="11"/>
      <c r="I94" s="11"/>
      <c r="J94" s="11"/>
      <c r="K94" s="11"/>
      <c r="O94" s="9"/>
      <c r="P94" s="9"/>
    </row>
    <row r="95" spans="1:17" s="9" customFormat="1" ht="64.5" x14ac:dyDescent="0.25">
      <c r="A95" s="559"/>
      <c r="B95" s="561"/>
      <c r="C95" s="504"/>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67</v>
      </c>
      <c r="E99" s="34"/>
      <c r="F99" s="34"/>
      <c r="G99" s="144">
        <f t="shared" si="8"/>
        <v>67</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67</v>
      </c>
      <c r="E102" s="52">
        <f>SUM(E95:E101)</f>
        <v>0</v>
      </c>
      <c r="F102" s="52">
        <f>SUM(F95:F101)</f>
        <v>0</v>
      </c>
      <c r="G102" s="145">
        <f>SUM(G95:G101)</f>
        <v>67</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505"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89">
        <v>32</v>
      </c>
      <c r="E135" s="389">
        <v>3</v>
      </c>
      <c r="F135" s="34"/>
      <c r="G135" s="203">
        <f t="shared" si="12"/>
        <v>35</v>
      </c>
      <c r="H135" s="101">
        <v>35</v>
      </c>
      <c r="I135" s="37"/>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32</v>
      </c>
      <c r="E138" s="52">
        <f>SUM(E131:E137)</f>
        <v>3</v>
      </c>
      <c r="F138" s="52">
        <f>SUM(F131:F137)</f>
        <v>0</v>
      </c>
      <c r="G138" s="205">
        <f t="shared" ref="G138:O138" si="13">SUM(G131:G137)</f>
        <v>35</v>
      </c>
      <c r="H138" s="206">
        <f t="shared" si="13"/>
        <v>35</v>
      </c>
      <c r="I138" s="85">
        <f t="shared" si="13"/>
        <v>0</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89">
        <v>1448</v>
      </c>
      <c r="E146" s="389">
        <v>83</v>
      </c>
      <c r="F146" s="34"/>
      <c r="G146" s="214">
        <f t="shared" si="14"/>
        <v>1531</v>
      </c>
      <c r="H146" s="37"/>
      <c r="I146" s="34"/>
      <c r="J146" s="34"/>
      <c r="K146" s="34"/>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1448</v>
      </c>
      <c r="E149" s="52">
        <f t="shared" si="15"/>
        <v>83</v>
      </c>
      <c r="F149" s="52">
        <f t="shared" si="15"/>
        <v>0</v>
      </c>
      <c r="G149" s="54">
        <f t="shared" si="15"/>
        <v>1531</v>
      </c>
      <c r="H149" s="85">
        <f t="shared" si="15"/>
        <v>0</v>
      </c>
      <c r="I149" s="52">
        <f t="shared" si="15"/>
        <v>0</v>
      </c>
      <c r="J149" s="52">
        <f t="shared" si="15"/>
        <v>0</v>
      </c>
      <c r="K149" s="52">
        <f t="shared" si="15"/>
        <v>0</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90">
        <v>6</v>
      </c>
      <c r="E159" s="390">
        <v>273</v>
      </c>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6</v>
      </c>
      <c r="E162" s="52">
        <f>SUM(E155:E160)</f>
        <v>273</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06"/>
      <c r="C166" s="230">
        <f>SUM(C167:C169)</f>
        <v>0</v>
      </c>
      <c r="D166" s="230">
        <f t="shared" ref="D166:I166" si="16">SUM(D167:D169)</f>
        <v>0</v>
      </c>
      <c r="E166" s="230">
        <f t="shared" si="16"/>
        <v>0</v>
      </c>
      <c r="F166" s="230">
        <f t="shared" si="16"/>
        <v>0</v>
      </c>
      <c r="G166" s="230">
        <f t="shared" si="16"/>
        <v>986313.8</v>
      </c>
      <c r="H166" s="230">
        <f t="shared" si="16"/>
        <v>0</v>
      </c>
      <c r="I166" s="231">
        <f t="shared" si="16"/>
        <v>0</v>
      </c>
    </row>
    <row r="167" spans="1:9" ht="15.75" x14ac:dyDescent="0.25">
      <c r="A167" s="232" t="s">
        <v>111</v>
      </c>
      <c r="B167" s="243"/>
      <c r="C167" s="78"/>
      <c r="D167" s="78"/>
      <c r="E167" s="78"/>
      <c r="F167" s="82"/>
      <c r="G167" s="389">
        <v>688837.62</v>
      </c>
      <c r="H167" s="78"/>
      <c r="I167" s="233"/>
    </row>
    <row r="168" spans="1:9" ht="15.75" x14ac:dyDescent="0.25">
      <c r="A168" s="232" t="s">
        <v>112</v>
      </c>
      <c r="B168" s="243"/>
      <c r="C168" s="78"/>
      <c r="D168" s="78"/>
      <c r="E168" s="78"/>
      <c r="F168" s="82"/>
      <c r="G168" s="390">
        <v>68068.759999999995</v>
      </c>
      <c r="H168" s="78"/>
      <c r="I168" s="233"/>
    </row>
    <row r="169" spans="1:9" ht="15.75" x14ac:dyDescent="0.25">
      <c r="A169" s="232" t="s">
        <v>113</v>
      </c>
      <c r="B169" s="243"/>
      <c r="C169" s="78"/>
      <c r="D169" s="78"/>
      <c r="E169" s="78"/>
      <c r="F169" s="82"/>
      <c r="G169" s="389">
        <v>229407.42</v>
      </c>
      <c r="H169" s="78"/>
      <c r="I169" s="233"/>
    </row>
    <row r="170" spans="1:9" ht="31.5" x14ac:dyDescent="0.25">
      <c r="A170" s="234" t="s">
        <v>114</v>
      </c>
      <c r="B170" s="243"/>
      <c r="C170" s="78"/>
      <c r="D170" s="78"/>
      <c r="E170" s="78"/>
      <c r="F170" s="82"/>
      <c r="G170" s="78">
        <v>231609.48</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1217923.28</v>
      </c>
      <c r="H171" s="236">
        <f t="shared" si="17"/>
        <v>0</v>
      </c>
      <c r="I171" s="86">
        <f t="shared" si="17"/>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8" sqref="K3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workbookViewId="0">
      <selection activeCell="D104" sqref="D104"/>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v>
      </c>
    </row>
    <row r="5" spans="1:17" s="2" customFormat="1" ht="15.75" x14ac:dyDescent="0.25">
      <c r="A5" s="5"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22" t="s">
        <v>10</v>
      </c>
      <c r="E11" s="23" t="s">
        <v>11</v>
      </c>
      <c r="F11" s="23" t="s">
        <v>12</v>
      </c>
      <c r="G11" s="24" t="s">
        <v>13</v>
      </c>
      <c r="H11" s="25" t="s">
        <v>14</v>
      </c>
      <c r="I11" s="26" t="s">
        <v>15</v>
      </c>
      <c r="J11" s="27" t="s">
        <v>16</v>
      </c>
      <c r="K11" s="27" t="s">
        <v>17</v>
      </c>
      <c r="L11" s="28" t="s">
        <v>18</v>
      </c>
      <c r="M11" s="28" t="s">
        <v>19</v>
      </c>
      <c r="N11" s="28" t="s">
        <v>20</v>
      </c>
      <c r="O11" s="29" t="s">
        <v>21</v>
      </c>
    </row>
    <row r="12" spans="1:17" ht="15" customHeight="1" x14ac:dyDescent="0.25">
      <c r="A12" s="534" t="s">
        <v>248</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f>2+14-4</f>
        <v>12</v>
      </c>
      <c r="E16" s="34">
        <f>1+1-2</f>
        <v>0</v>
      </c>
      <c r="F16" s="34"/>
      <c r="G16" s="44">
        <f>4+2</f>
        <v>6</v>
      </c>
      <c r="H16" s="36">
        <f t="shared" si="0"/>
        <v>18</v>
      </c>
      <c r="I16" s="45">
        <f>1+1+1+1</f>
        <v>4</v>
      </c>
      <c r="J16" s="46">
        <f>1</f>
        <v>1</v>
      </c>
      <c r="K16" s="46">
        <f>1+1</f>
        <v>2</v>
      </c>
      <c r="L16" s="46"/>
      <c r="M16" s="46"/>
      <c r="N16" s="46">
        <f>2+2</f>
        <v>4</v>
      </c>
      <c r="O16" s="47">
        <f>4+1+2</f>
        <v>7</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99.75" customHeight="1" thickBot="1" x14ac:dyDescent="0.3">
      <c r="A19" s="536"/>
      <c r="B19" s="537"/>
      <c r="C19" s="50" t="s">
        <v>14</v>
      </c>
      <c r="D19" s="51">
        <f>SUM(D12:D18)</f>
        <v>12</v>
      </c>
      <c r="E19" s="52">
        <f>SUM(E12:E18)</f>
        <v>0</v>
      </c>
      <c r="F19" s="52">
        <f>SUM(F12:F18)</f>
        <v>0</v>
      </c>
      <c r="G19" s="53">
        <f>SUM(G12:G18)</f>
        <v>6</v>
      </c>
      <c r="H19" s="54">
        <f>SUM(D19:G19)</f>
        <v>18</v>
      </c>
      <c r="I19" s="55">
        <f t="shared" ref="I19:O19" si="1">SUM(I12:I18)</f>
        <v>4</v>
      </c>
      <c r="J19" s="56">
        <f t="shared" si="1"/>
        <v>1</v>
      </c>
      <c r="K19" s="56">
        <f t="shared" si="1"/>
        <v>2</v>
      </c>
      <c r="L19" s="56">
        <f t="shared" si="1"/>
        <v>0</v>
      </c>
      <c r="M19" s="56">
        <f t="shared" si="1"/>
        <v>0</v>
      </c>
      <c r="N19" s="56">
        <f t="shared" si="1"/>
        <v>4</v>
      </c>
      <c r="O19" s="57">
        <f t="shared" si="1"/>
        <v>7</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0" t="s">
        <v>23</v>
      </c>
      <c r="C22" s="533"/>
      <c r="D22" s="62" t="s">
        <v>10</v>
      </c>
      <c r="E22" s="63" t="s">
        <v>11</v>
      </c>
      <c r="F22" s="63" t="s">
        <v>12</v>
      </c>
      <c r="G22" s="64" t="s">
        <v>13</v>
      </c>
      <c r="H22" s="25" t="s">
        <v>14</v>
      </c>
    </row>
    <row r="23" spans="1:17" ht="15" customHeight="1" x14ac:dyDescent="0.25">
      <c r="A23" s="534" t="s">
        <v>249</v>
      </c>
      <c r="B23" s="535"/>
      <c r="C23" s="32">
        <v>2014</v>
      </c>
      <c r="D23" s="33"/>
      <c r="E23" s="34"/>
      <c r="F23" s="34"/>
      <c r="G23" s="35"/>
      <c r="H23" s="36">
        <f>SUM(D23:G23)</f>
        <v>0</v>
      </c>
    </row>
    <row r="24" spans="1:17" x14ac:dyDescent="0.25">
      <c r="A24" s="534"/>
      <c r="B24" s="535"/>
      <c r="C24" s="32">
        <v>2015</v>
      </c>
      <c r="D24" s="33"/>
      <c r="E24" s="34"/>
      <c r="F24" s="34"/>
      <c r="G24" s="35"/>
      <c r="H24" s="36">
        <f t="shared" ref="H24:H29" si="2">SUM(D24:G24)</f>
        <v>0</v>
      </c>
    </row>
    <row r="25" spans="1:17" x14ac:dyDescent="0.25">
      <c r="A25" s="534"/>
      <c r="B25" s="535"/>
      <c r="C25" s="32">
        <v>2016</v>
      </c>
      <c r="D25" s="33"/>
      <c r="E25" s="34"/>
      <c r="F25" s="34"/>
      <c r="G25" s="35"/>
      <c r="H25" s="36">
        <f t="shared" si="2"/>
        <v>0</v>
      </c>
    </row>
    <row r="26" spans="1:17" x14ac:dyDescent="0.25">
      <c r="A26" s="534"/>
      <c r="B26" s="535"/>
      <c r="C26" s="32">
        <v>2017</v>
      </c>
      <c r="D26" s="39"/>
      <c r="E26" s="40"/>
      <c r="F26" s="40"/>
      <c r="G26" s="41"/>
      <c r="H26" s="36">
        <f t="shared" si="2"/>
        <v>0</v>
      </c>
    </row>
    <row r="27" spans="1:17" x14ac:dyDescent="0.25">
      <c r="A27" s="534"/>
      <c r="B27" s="535"/>
      <c r="C27" s="32">
        <v>2018</v>
      </c>
      <c r="D27" s="33">
        <f>32+74+30+80+126+92+30+32+5000+73+449+80+40+26+2000+26+2000+26+20-92-5000-26-2000-26-2000</f>
        <v>1092</v>
      </c>
      <c r="E27" s="34">
        <f>12000+6+60000+8-72014</f>
        <v>0</v>
      </c>
      <c r="F27" s="34"/>
      <c r="G27" s="34">
        <f>12000+6+60000+8+92+5000+26+2000+26+2000</f>
        <v>81158</v>
      </c>
      <c r="H27" s="36">
        <f t="shared" si="2"/>
        <v>82250</v>
      </c>
    </row>
    <row r="28" spans="1:17" x14ac:dyDescent="0.25">
      <c r="A28" s="534"/>
      <c r="B28" s="535"/>
      <c r="C28" s="32">
        <v>2019</v>
      </c>
      <c r="D28" s="33"/>
      <c r="E28" s="34"/>
      <c r="F28" s="34"/>
      <c r="G28" s="35"/>
      <c r="H28" s="36">
        <f t="shared" si="2"/>
        <v>0</v>
      </c>
    </row>
    <row r="29" spans="1:17" x14ac:dyDescent="0.25">
      <c r="A29" s="534"/>
      <c r="B29" s="535"/>
      <c r="C29" s="32">
        <v>2020</v>
      </c>
      <c r="D29" s="33"/>
      <c r="E29" s="34"/>
      <c r="F29" s="34"/>
      <c r="G29" s="35"/>
      <c r="H29" s="36">
        <f t="shared" si="2"/>
        <v>0</v>
      </c>
    </row>
    <row r="30" spans="1:17" ht="158.25" customHeight="1" thickBot="1" x14ac:dyDescent="0.3">
      <c r="A30" s="536"/>
      <c r="B30" s="537"/>
      <c r="C30" s="50" t="s">
        <v>14</v>
      </c>
      <c r="D30" s="51">
        <f>SUM(D23:D29)</f>
        <v>1092</v>
      </c>
      <c r="E30" s="52">
        <f>SUM(E23:E29)</f>
        <v>0</v>
      </c>
      <c r="F30" s="52">
        <f>SUM(F23:F29)</f>
        <v>0</v>
      </c>
      <c r="G30" s="52">
        <f>SUM(G23:G29)</f>
        <v>81158</v>
      </c>
      <c r="H30" s="54">
        <f>SUM(D30:G30)</f>
        <v>82250</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83">
        <v>2</v>
      </c>
      <c r="E40" s="37">
        <f>1</f>
        <v>1</v>
      </c>
      <c r="F40" s="34"/>
      <c r="G40" s="34">
        <f>1</f>
        <v>1</v>
      </c>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2</v>
      </c>
      <c r="E43" s="85">
        <f t="shared" ref="E43:J43" si="3">SUM(E36:E42)</f>
        <v>1</v>
      </c>
      <c r="F43" s="52">
        <f t="shared" si="3"/>
        <v>0</v>
      </c>
      <c r="G43" s="52">
        <f t="shared" si="3"/>
        <v>1</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10</v>
      </c>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10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1" t="s">
        <v>6</v>
      </c>
      <c r="D94" s="139" t="s">
        <v>51</v>
      </c>
      <c r="E94" s="140"/>
      <c r="F94" s="140"/>
      <c r="G94" s="141"/>
      <c r="H94" s="11"/>
      <c r="I94" s="11"/>
      <c r="J94" s="11"/>
      <c r="K94" s="11"/>
      <c r="O94" s="9"/>
      <c r="P94" s="9"/>
    </row>
    <row r="95" spans="1:17" s="9" customFormat="1" ht="64.5" x14ac:dyDescent="0.25">
      <c r="A95" s="559"/>
      <c r="B95" s="561"/>
      <c r="C95" s="402"/>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74</v>
      </c>
      <c r="E99" s="34"/>
      <c r="F99" s="34"/>
      <c r="G99" s="144">
        <f t="shared" si="8"/>
        <v>74</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74</v>
      </c>
      <c r="E102" s="52">
        <f>SUM(E95:E101)</f>
        <v>0</v>
      </c>
      <c r="F102" s="52">
        <f>SUM(F95:F101)</f>
        <v>0</v>
      </c>
      <c r="G102" s="145">
        <f>SUM(G95:G101)</f>
        <v>74</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3"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605" t="s">
        <v>85</v>
      </c>
      <c r="B131" s="606"/>
      <c r="C131" s="32">
        <v>2014</v>
      </c>
      <c r="D131" s="33"/>
      <c r="E131" s="34"/>
      <c r="F131" s="34"/>
      <c r="G131" s="203">
        <f t="shared" ref="G131:G137" si="12">SUM(D131:E131)</f>
        <v>0</v>
      </c>
      <c r="H131" s="101"/>
      <c r="I131" s="37"/>
      <c r="J131" s="34"/>
      <c r="K131" s="34"/>
      <c r="L131" s="34"/>
      <c r="M131" s="34"/>
      <c r="N131" s="34"/>
      <c r="O131" s="38"/>
    </row>
    <row r="132" spans="1:15" x14ac:dyDescent="0.25">
      <c r="A132" s="605"/>
      <c r="B132" s="606"/>
      <c r="C132" s="32">
        <v>2015</v>
      </c>
      <c r="D132" s="33"/>
      <c r="E132" s="34"/>
      <c r="F132" s="34"/>
      <c r="G132" s="203">
        <f t="shared" si="12"/>
        <v>0</v>
      </c>
      <c r="H132" s="101"/>
      <c r="I132" s="37"/>
      <c r="J132" s="34"/>
      <c r="K132" s="34"/>
      <c r="L132" s="34"/>
      <c r="M132" s="34"/>
      <c r="N132" s="34"/>
      <c r="O132" s="38"/>
    </row>
    <row r="133" spans="1:15" x14ac:dyDescent="0.25">
      <c r="A133" s="605"/>
      <c r="B133" s="606"/>
      <c r="C133" s="32">
        <v>2016</v>
      </c>
      <c r="D133" s="33"/>
      <c r="E133" s="34"/>
      <c r="F133" s="34"/>
      <c r="G133" s="203">
        <f t="shared" si="12"/>
        <v>0</v>
      </c>
      <c r="H133" s="101"/>
      <c r="I133" s="37"/>
      <c r="J133" s="34"/>
      <c r="K133" s="34"/>
      <c r="L133" s="34"/>
      <c r="M133" s="34"/>
      <c r="N133" s="34"/>
      <c r="O133" s="38"/>
    </row>
    <row r="134" spans="1:15" x14ac:dyDescent="0.25">
      <c r="A134" s="605"/>
      <c r="B134" s="606"/>
      <c r="C134" s="32">
        <v>2017</v>
      </c>
      <c r="D134" s="39"/>
      <c r="E134" s="40"/>
      <c r="F134" s="40"/>
      <c r="G134" s="203">
        <f t="shared" si="12"/>
        <v>0</v>
      </c>
      <c r="H134" s="101"/>
      <c r="I134" s="42"/>
      <c r="J134" s="40"/>
      <c r="K134" s="40"/>
      <c r="L134" s="40"/>
      <c r="M134" s="40"/>
      <c r="N134" s="40"/>
      <c r="O134" s="43"/>
    </row>
    <row r="135" spans="1:15" x14ac:dyDescent="0.25">
      <c r="A135" s="605"/>
      <c r="B135" s="606"/>
      <c r="C135" s="32">
        <v>2018</v>
      </c>
      <c r="D135" s="33">
        <f>2+1+1+3+11+2</f>
        <v>20</v>
      </c>
      <c r="E135" s="34">
        <f>2+1</f>
        <v>3</v>
      </c>
      <c r="F135" s="34"/>
      <c r="G135" s="204">
        <f t="shared" si="12"/>
        <v>23</v>
      </c>
      <c r="H135" s="101">
        <f>2+3+1+4+2+4+2+4+1</f>
        <v>23</v>
      </c>
      <c r="I135" s="37">
        <f>1+2+3+2+1</f>
        <v>9</v>
      </c>
      <c r="J135" s="34"/>
      <c r="K135" s="34">
        <f>11</f>
        <v>11</v>
      </c>
      <c r="L135" s="34"/>
      <c r="M135" s="34"/>
      <c r="N135" s="34">
        <v>2</v>
      </c>
      <c r="O135" s="38">
        <f>1</f>
        <v>1</v>
      </c>
    </row>
    <row r="136" spans="1:15" x14ac:dyDescent="0.25">
      <c r="A136" s="605"/>
      <c r="B136" s="606"/>
      <c r="C136" s="32">
        <v>2019</v>
      </c>
      <c r="D136" s="33"/>
      <c r="E136" s="34"/>
      <c r="F136" s="34"/>
      <c r="G136" s="203">
        <f t="shared" si="12"/>
        <v>0</v>
      </c>
      <c r="H136" s="101"/>
      <c r="I136" s="37"/>
      <c r="J136" s="34"/>
      <c r="K136" s="34"/>
      <c r="L136" s="34"/>
      <c r="M136" s="34"/>
      <c r="N136" s="34"/>
      <c r="O136" s="38"/>
    </row>
    <row r="137" spans="1:15" x14ac:dyDescent="0.25">
      <c r="A137" s="605"/>
      <c r="B137" s="606"/>
      <c r="C137" s="32">
        <v>2020</v>
      </c>
      <c r="D137" s="33"/>
      <c r="E137" s="34"/>
      <c r="F137" s="34"/>
      <c r="G137" s="203">
        <f t="shared" si="12"/>
        <v>0</v>
      </c>
      <c r="H137" s="101"/>
      <c r="I137" s="37"/>
      <c r="J137" s="34"/>
      <c r="K137" s="34"/>
      <c r="L137" s="34"/>
      <c r="M137" s="34"/>
      <c r="N137" s="34"/>
      <c r="O137" s="38"/>
    </row>
    <row r="138" spans="1:15" ht="15.95" customHeight="1" thickBot="1" x14ac:dyDescent="0.3">
      <c r="A138" s="607"/>
      <c r="B138" s="608"/>
      <c r="C138" s="50" t="s">
        <v>14</v>
      </c>
      <c r="D138" s="51">
        <f>SUM(D131:D137)</f>
        <v>20</v>
      </c>
      <c r="E138" s="52">
        <f>SUM(E131:E137)</f>
        <v>3</v>
      </c>
      <c r="F138" s="52">
        <f>SUM(F131:F137)</f>
        <v>0</v>
      </c>
      <c r="G138" s="205">
        <f t="shared" ref="G138:O138" si="13">SUM(G131:G137)</f>
        <v>23</v>
      </c>
      <c r="H138" s="206">
        <f t="shared" si="13"/>
        <v>23</v>
      </c>
      <c r="I138" s="85">
        <f t="shared" si="13"/>
        <v>9</v>
      </c>
      <c r="J138" s="52">
        <f t="shared" si="13"/>
        <v>0</v>
      </c>
      <c r="K138" s="52">
        <f t="shared" si="13"/>
        <v>11</v>
      </c>
      <c r="L138" s="52">
        <f t="shared" si="13"/>
        <v>0</v>
      </c>
      <c r="M138" s="52">
        <f t="shared" si="13"/>
        <v>0</v>
      </c>
      <c r="N138" s="52">
        <f t="shared" si="13"/>
        <v>2</v>
      </c>
      <c r="O138" s="86">
        <f t="shared" si="13"/>
        <v>1</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98</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f>32+74+40+30+92+449+32</f>
        <v>749</v>
      </c>
      <c r="E146" s="34">
        <f>126+30</f>
        <v>156</v>
      </c>
      <c r="F146" s="34"/>
      <c r="G146" s="214">
        <f t="shared" si="14"/>
        <v>905</v>
      </c>
      <c r="H146" s="37"/>
      <c r="I146" s="34">
        <v>32</v>
      </c>
      <c r="J146" s="34"/>
      <c r="K146" s="34">
        <f>643+156</f>
        <v>799</v>
      </c>
      <c r="L146" s="38">
        <v>74</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749</v>
      </c>
      <c r="E149" s="52">
        <f t="shared" si="15"/>
        <v>156</v>
      </c>
      <c r="F149" s="52">
        <f t="shared" si="15"/>
        <v>0</v>
      </c>
      <c r="G149" s="54">
        <f t="shared" si="15"/>
        <v>905</v>
      </c>
      <c r="H149" s="85">
        <f t="shared" si="15"/>
        <v>0</v>
      </c>
      <c r="I149" s="52">
        <f t="shared" si="15"/>
        <v>32</v>
      </c>
      <c r="J149" s="52">
        <f t="shared" si="15"/>
        <v>0</v>
      </c>
      <c r="K149" s="52">
        <f t="shared" si="15"/>
        <v>799</v>
      </c>
      <c r="L149" s="86">
        <f t="shared" si="15"/>
        <v>74</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02" t="s">
        <v>110</v>
      </c>
      <c r="C166" s="230">
        <f>SUM(C167:C169)</f>
        <v>0</v>
      </c>
      <c r="D166" s="230">
        <f t="shared" ref="D166:I166" si="16">SUM(D167:D169)</f>
        <v>0</v>
      </c>
      <c r="E166" s="230">
        <f t="shared" si="16"/>
        <v>0</v>
      </c>
      <c r="F166" s="230">
        <f t="shared" si="16"/>
        <v>0</v>
      </c>
      <c r="G166" s="230">
        <f>SUM(G167:G169)</f>
        <v>485635.61</v>
      </c>
      <c r="H166" s="230">
        <f t="shared" si="16"/>
        <v>0</v>
      </c>
      <c r="I166" s="231">
        <f t="shared" si="16"/>
        <v>0</v>
      </c>
    </row>
    <row r="167" spans="1:9" ht="15.75" x14ac:dyDescent="0.25">
      <c r="A167" s="232" t="s">
        <v>111</v>
      </c>
      <c r="B167" s="603"/>
      <c r="C167" s="78"/>
      <c r="D167" s="78"/>
      <c r="E167" s="78"/>
      <c r="F167" s="82"/>
      <c r="G167" s="78">
        <f>475009.11-10866.5-4000</f>
        <v>460142.61</v>
      </c>
      <c r="H167" s="78"/>
      <c r="I167" s="233"/>
    </row>
    <row r="168" spans="1:9" ht="15.75" x14ac:dyDescent="0.25">
      <c r="A168" s="232" t="s">
        <v>112</v>
      </c>
      <c r="B168" s="603"/>
      <c r="C168" s="78"/>
      <c r="D168" s="78"/>
      <c r="E168" s="78"/>
      <c r="F168" s="82"/>
      <c r="G168" s="78">
        <f>10626.5+10866.5+4000</f>
        <v>25493</v>
      </c>
      <c r="H168" s="78"/>
      <c r="I168" s="233"/>
    </row>
    <row r="169" spans="1:9" ht="15.75" x14ac:dyDescent="0.25">
      <c r="A169" s="232" t="s">
        <v>113</v>
      </c>
      <c r="B169" s="603"/>
      <c r="C169" s="78"/>
      <c r="D169" s="78"/>
      <c r="E169" s="78"/>
      <c r="F169" s="82"/>
      <c r="G169" s="78"/>
      <c r="H169" s="78"/>
      <c r="I169" s="233"/>
    </row>
    <row r="170" spans="1:9" ht="31.5" x14ac:dyDescent="0.25">
      <c r="A170" s="234" t="s">
        <v>114</v>
      </c>
      <c r="B170" s="603"/>
      <c r="C170" s="78"/>
      <c r="D170" s="78"/>
      <c r="E170" s="78"/>
      <c r="F170" s="82"/>
      <c r="G170" s="78">
        <f>243450.57+6626+350</f>
        <v>250426.57</v>
      </c>
      <c r="H170" s="78"/>
      <c r="I170" s="233"/>
    </row>
    <row r="171" spans="1:9" ht="16.5" thickBot="1" x14ac:dyDescent="0.3">
      <c r="A171" s="235" t="s">
        <v>115</v>
      </c>
      <c r="B171" s="604"/>
      <c r="C171" s="236">
        <f t="shared" ref="C171:I171" si="17">C166+C170</f>
        <v>0</v>
      </c>
      <c r="D171" s="236">
        <f t="shared" si="17"/>
        <v>0</v>
      </c>
      <c r="E171" s="236">
        <f t="shared" si="17"/>
        <v>0</v>
      </c>
      <c r="F171" s="236">
        <f t="shared" si="17"/>
        <v>0</v>
      </c>
      <c r="G171" s="237">
        <f t="shared" si="17"/>
        <v>736062.17999999993</v>
      </c>
      <c r="H171" s="236">
        <f t="shared" si="17"/>
        <v>0</v>
      </c>
      <c r="I171" s="86">
        <f t="shared" si="17"/>
        <v>0</v>
      </c>
    </row>
    <row r="172" spans="1:9" x14ac:dyDescent="0.25">
      <c r="F172" s="238"/>
      <c r="G172" s="238"/>
    </row>
    <row r="173" spans="1:9" x14ac:dyDescent="0.25">
      <c r="F173" s="238"/>
      <c r="G173" s="238"/>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7"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410</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35</v>
      </c>
      <c r="B12" s="535"/>
      <c r="C12" s="32">
        <v>2014</v>
      </c>
      <c r="D12" s="33"/>
      <c r="E12" s="34"/>
      <c r="F12" s="34"/>
      <c r="G12" s="35"/>
      <c r="H12" s="36">
        <v>0</v>
      </c>
      <c r="I12" s="37"/>
      <c r="J12" s="34"/>
      <c r="K12" s="34"/>
      <c r="L12" s="34"/>
      <c r="M12" s="34"/>
      <c r="N12" s="34"/>
      <c r="O12" s="38"/>
      <c r="P12" s="11"/>
      <c r="Q12" s="11"/>
    </row>
    <row r="13" spans="1:17" x14ac:dyDescent="0.25">
      <c r="A13" s="534"/>
      <c r="B13" s="535"/>
      <c r="C13" s="32">
        <v>2015</v>
      </c>
      <c r="D13" s="33"/>
      <c r="E13" s="34"/>
      <c r="F13" s="34"/>
      <c r="G13" s="35"/>
      <c r="H13" s="36">
        <v>0</v>
      </c>
      <c r="I13" s="37"/>
      <c r="J13" s="34"/>
      <c r="K13" s="34"/>
      <c r="L13" s="34"/>
      <c r="M13" s="34"/>
      <c r="N13" s="34"/>
      <c r="O13" s="38"/>
      <c r="P13" s="11"/>
      <c r="Q13" s="11"/>
    </row>
    <row r="14" spans="1:17" x14ac:dyDescent="0.25">
      <c r="A14" s="534"/>
      <c r="B14" s="535"/>
      <c r="C14" s="32">
        <v>2016</v>
      </c>
      <c r="D14" s="33"/>
      <c r="E14" s="34"/>
      <c r="F14" s="34"/>
      <c r="G14" s="35"/>
      <c r="H14" s="36">
        <v>0</v>
      </c>
      <c r="I14" s="37"/>
      <c r="J14" s="34"/>
      <c r="K14" s="34"/>
      <c r="L14" s="34"/>
      <c r="M14" s="34"/>
      <c r="N14" s="34"/>
      <c r="O14" s="38"/>
      <c r="P14" s="11"/>
      <c r="Q14" s="11"/>
    </row>
    <row r="15" spans="1:17" x14ac:dyDescent="0.25">
      <c r="A15" s="534"/>
      <c r="B15" s="535"/>
      <c r="C15" s="32">
        <v>2017</v>
      </c>
      <c r="D15" s="33"/>
      <c r="E15" s="40"/>
      <c r="F15" s="40"/>
      <c r="G15" s="41"/>
      <c r="H15" s="36">
        <v>0</v>
      </c>
      <c r="I15" s="42"/>
      <c r="J15" s="40"/>
      <c r="K15" s="40"/>
      <c r="L15" s="40"/>
      <c r="M15" s="40"/>
      <c r="N15" s="40"/>
      <c r="O15" s="43"/>
      <c r="P15" s="11"/>
      <c r="Q15" s="11"/>
    </row>
    <row r="16" spans="1:17" x14ac:dyDescent="0.25">
      <c r="A16" s="534"/>
      <c r="B16" s="535"/>
      <c r="C16" s="32">
        <v>2018</v>
      </c>
      <c r="D16" s="33">
        <v>0</v>
      </c>
      <c r="E16" s="33">
        <v>203</v>
      </c>
      <c r="F16" s="33">
        <v>11</v>
      </c>
      <c r="G16" s="33">
        <v>49</v>
      </c>
      <c r="H16" s="36">
        <v>263</v>
      </c>
      <c r="I16" s="37">
        <v>40</v>
      </c>
      <c r="J16" s="34">
        <v>31</v>
      </c>
      <c r="K16" s="34">
        <v>60</v>
      </c>
      <c r="L16" s="34">
        <v>41</v>
      </c>
      <c r="M16" s="34">
        <v>0</v>
      </c>
      <c r="N16" s="34">
        <v>76</v>
      </c>
      <c r="O16" s="38">
        <v>15</v>
      </c>
      <c r="P16" s="11"/>
      <c r="Q16" s="11"/>
    </row>
    <row r="17" spans="1:17" x14ac:dyDescent="0.25">
      <c r="A17" s="534"/>
      <c r="B17" s="535"/>
      <c r="C17" s="32">
        <v>2019</v>
      </c>
      <c r="D17" s="33"/>
      <c r="E17" s="34"/>
      <c r="F17" s="34"/>
      <c r="G17" s="35"/>
      <c r="H17" s="36">
        <v>0</v>
      </c>
      <c r="I17" s="37"/>
      <c r="J17" s="34"/>
      <c r="K17" s="34"/>
      <c r="L17" s="34"/>
      <c r="M17" s="34"/>
      <c r="N17" s="34"/>
      <c r="O17" s="38"/>
      <c r="P17" s="11"/>
      <c r="Q17" s="11"/>
    </row>
    <row r="18" spans="1:17" x14ac:dyDescent="0.25">
      <c r="A18" s="534"/>
      <c r="B18" s="535"/>
      <c r="C18" s="32">
        <v>2020</v>
      </c>
      <c r="D18" s="33"/>
      <c r="E18" s="34"/>
      <c r="F18" s="34"/>
      <c r="G18" s="35"/>
      <c r="H18" s="36">
        <v>0</v>
      </c>
      <c r="I18" s="37"/>
      <c r="J18" s="34"/>
      <c r="K18" s="34"/>
      <c r="L18" s="34"/>
      <c r="M18" s="34"/>
      <c r="N18" s="34"/>
      <c r="O18" s="38"/>
      <c r="P18" s="11"/>
      <c r="Q18" s="11"/>
    </row>
    <row r="19" spans="1:17" ht="77.25" customHeight="1" thickBot="1" x14ac:dyDescent="0.3">
      <c r="A19" s="536"/>
      <c r="B19" s="537"/>
      <c r="C19" s="50" t="s">
        <v>14</v>
      </c>
      <c r="D19" s="51">
        <v>0</v>
      </c>
      <c r="E19" s="52">
        <v>236</v>
      </c>
      <c r="F19" s="52">
        <v>9</v>
      </c>
      <c r="G19" s="53"/>
      <c r="H19" s="54">
        <v>245</v>
      </c>
      <c r="I19" s="85">
        <v>40</v>
      </c>
      <c r="J19" s="52">
        <v>31</v>
      </c>
      <c r="K19" s="52">
        <v>60</v>
      </c>
      <c r="L19" s="52">
        <v>41</v>
      </c>
      <c r="M19" s="52">
        <v>0</v>
      </c>
      <c r="N19" s="52">
        <v>76</v>
      </c>
      <c r="O19" s="86">
        <v>15</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524"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v>0</v>
      </c>
    </row>
    <row r="24" spans="1:17" x14ac:dyDescent="0.25">
      <c r="A24" s="534"/>
      <c r="B24" s="535"/>
      <c r="C24" s="32">
        <v>2015</v>
      </c>
      <c r="D24" s="33"/>
      <c r="E24" s="34"/>
      <c r="F24" s="34"/>
      <c r="G24" s="35"/>
      <c r="H24" s="36">
        <v>0</v>
      </c>
    </row>
    <row r="25" spans="1:17" x14ac:dyDescent="0.25">
      <c r="A25" s="534"/>
      <c r="B25" s="535"/>
      <c r="C25" s="32">
        <v>2016</v>
      </c>
      <c r="D25" s="33"/>
      <c r="E25" s="34"/>
      <c r="F25" s="34"/>
      <c r="G25" s="35"/>
      <c r="H25" s="36">
        <v>0</v>
      </c>
    </row>
    <row r="26" spans="1:17" x14ac:dyDescent="0.25">
      <c r="A26" s="534"/>
      <c r="B26" s="535"/>
      <c r="C26" s="32">
        <v>2017</v>
      </c>
      <c r="D26" s="39"/>
      <c r="E26" s="40"/>
      <c r="F26" s="40"/>
      <c r="G26" s="41"/>
      <c r="H26" s="36">
        <v>0</v>
      </c>
    </row>
    <row r="27" spans="1:17" x14ac:dyDescent="0.25">
      <c r="A27" s="534"/>
      <c r="B27" s="535"/>
      <c r="C27" s="32">
        <v>2018</v>
      </c>
      <c r="D27" s="33"/>
      <c r="E27" s="34">
        <v>26525</v>
      </c>
      <c r="F27" s="34">
        <v>5948</v>
      </c>
      <c r="G27" s="34">
        <v>1598841</v>
      </c>
      <c r="H27" s="36">
        <v>1631314</v>
      </c>
    </row>
    <row r="28" spans="1:17" x14ac:dyDescent="0.25">
      <c r="A28" s="534"/>
      <c r="B28" s="535"/>
      <c r="C28" s="32">
        <v>2019</v>
      </c>
      <c r="D28" s="33"/>
      <c r="E28" s="34"/>
      <c r="F28" s="34"/>
      <c r="G28" s="35"/>
      <c r="H28" s="36">
        <v>0</v>
      </c>
    </row>
    <row r="29" spans="1:17" x14ac:dyDescent="0.25">
      <c r="A29" s="534"/>
      <c r="B29" s="535"/>
      <c r="C29" s="32">
        <v>2020</v>
      </c>
      <c r="D29" s="33"/>
      <c r="E29" s="34"/>
      <c r="F29" s="34"/>
      <c r="G29" s="35"/>
      <c r="H29" s="36">
        <v>0</v>
      </c>
    </row>
    <row r="30" spans="1:17" ht="24" customHeight="1" thickBot="1" x14ac:dyDescent="0.3">
      <c r="A30" s="536"/>
      <c r="B30" s="537"/>
      <c r="C30" s="50" t="s">
        <v>14</v>
      </c>
      <c r="D30" s="51">
        <v>0</v>
      </c>
      <c r="E30" s="52">
        <f>SUM(E23:E29)</f>
        <v>26525</v>
      </c>
      <c r="F30" s="52">
        <f>SUM(F23:F29)</f>
        <v>5948</v>
      </c>
      <c r="G30" s="52">
        <f>SUM(G23:G29)</f>
        <v>1598841</v>
      </c>
      <c r="H30" s="54">
        <f>SUM(H23:H29)</f>
        <v>1631314</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tr">
        <f>[1]PK!A36</f>
        <v xml:space="preserve"> Komentarz: Zakres inny - publikacja przyczynia się do realizacji 3 priorytetów: Ułatwienie transferu wiedzy i innowacji w rolnictwie i leśnictwie oraz na obszarach wiejskich,
Zwiększenie rentowności gospodarstw i konkurencyjność,
Wspieranie organizacji łańcucha żywnościowego</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511">
        <v>44</v>
      </c>
      <c r="E40" s="512">
        <v>16</v>
      </c>
      <c r="F40" s="78">
        <v>1</v>
      </c>
      <c r="G40" s="78">
        <v>21</v>
      </c>
      <c r="H40" s="78">
        <v>0</v>
      </c>
      <c r="I40" s="78">
        <v>2</v>
      </c>
      <c r="J40" s="78">
        <v>3</v>
      </c>
      <c r="K40" s="233">
        <v>1</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44</v>
      </c>
      <c r="E43" s="85">
        <f t="shared" ref="E43:J43" si="0">SUM(E36:E42)</f>
        <v>16</v>
      </c>
      <c r="F43" s="52">
        <f t="shared" si="0"/>
        <v>1</v>
      </c>
      <c r="G43" s="52">
        <f t="shared" si="0"/>
        <v>21</v>
      </c>
      <c r="H43" s="52">
        <f t="shared" si="0"/>
        <v>0</v>
      </c>
      <c r="I43" s="52">
        <f t="shared" si="0"/>
        <v>2</v>
      </c>
      <c r="J43" s="52">
        <f t="shared" si="0"/>
        <v>3</v>
      </c>
      <c r="K43" s="86">
        <f>SUM(K36:K42)</f>
        <v>1</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6</v>
      </c>
      <c r="E54" s="37"/>
      <c r="F54" s="34">
        <v>6</v>
      </c>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v>6</v>
      </c>
      <c r="E57" s="85">
        <v>0</v>
      </c>
      <c r="F57" s="52">
        <v>6</v>
      </c>
      <c r="G57" s="52">
        <v>0</v>
      </c>
      <c r="H57" s="52">
        <v>0</v>
      </c>
      <c r="I57" s="52">
        <v>0</v>
      </c>
      <c r="J57" s="52">
        <v>0</v>
      </c>
      <c r="K57" s="86">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v>0</v>
      </c>
      <c r="E70" s="52">
        <v>0</v>
      </c>
      <c r="F70" s="128">
        <v>0</v>
      </c>
      <c r="G70" s="129">
        <v>0</v>
      </c>
      <c r="H70" s="129">
        <v>0</v>
      </c>
      <c r="I70" s="129">
        <v>0</v>
      </c>
      <c r="J70" s="129">
        <v>0</v>
      </c>
      <c r="K70" s="129">
        <v>0</v>
      </c>
      <c r="L70" s="130">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v>0</v>
      </c>
      <c r="E81" s="128">
        <v>0</v>
      </c>
      <c r="F81" s="129">
        <v>0</v>
      </c>
      <c r="G81" s="129">
        <v>0</v>
      </c>
      <c r="H81" s="129">
        <v>0</v>
      </c>
      <c r="I81" s="129">
        <v>0</v>
      </c>
      <c r="J81" s="129">
        <v>0</v>
      </c>
      <c r="K81" s="130">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v>0</v>
      </c>
      <c r="E92" s="128">
        <v>0</v>
      </c>
      <c r="F92" s="129">
        <v>0</v>
      </c>
      <c r="G92" s="129">
        <v>0</v>
      </c>
      <c r="H92" s="129">
        <v>0</v>
      </c>
      <c r="I92" s="129">
        <v>0</v>
      </c>
      <c r="J92" s="129">
        <v>0</v>
      </c>
      <c r="K92" s="130">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525" t="s">
        <v>6</v>
      </c>
      <c r="D94" s="139" t="s">
        <v>51</v>
      </c>
      <c r="E94" s="140"/>
      <c r="F94" s="140"/>
      <c r="G94" s="141"/>
      <c r="H94" s="11"/>
      <c r="I94" s="11"/>
      <c r="J94" s="11"/>
      <c r="K94" s="11"/>
      <c r="O94" s="9"/>
      <c r="P94" s="9"/>
    </row>
    <row r="95" spans="1:17" s="9" customFormat="1" ht="64.5" x14ac:dyDescent="0.25">
      <c r="A95" s="559"/>
      <c r="B95" s="561"/>
      <c r="C95" s="52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v>0</v>
      </c>
      <c r="H96"/>
      <c r="I96"/>
      <c r="J96"/>
      <c r="K96"/>
    </row>
    <row r="97" spans="1:16" s="11" customFormat="1" ht="16.5" customHeight="1" x14ac:dyDescent="0.25">
      <c r="A97" s="534"/>
      <c r="B97" s="535"/>
      <c r="C97" s="32">
        <v>2016</v>
      </c>
      <c r="D97" s="33"/>
      <c r="E97" s="34"/>
      <c r="F97" s="34"/>
      <c r="G97" s="144">
        <v>0</v>
      </c>
      <c r="H97"/>
      <c r="I97"/>
      <c r="J97"/>
      <c r="K97"/>
      <c r="L97"/>
      <c r="M97"/>
      <c r="N97"/>
    </row>
    <row r="98" spans="1:16" x14ac:dyDescent="0.25">
      <c r="A98" s="534"/>
      <c r="B98" s="535"/>
      <c r="C98" s="32">
        <v>2017</v>
      </c>
      <c r="D98" s="39"/>
      <c r="E98" s="40"/>
      <c r="F98" s="40"/>
      <c r="G98" s="144">
        <v>0</v>
      </c>
    </row>
    <row r="99" spans="1:16" x14ac:dyDescent="0.25">
      <c r="A99" s="534"/>
      <c r="B99" s="535"/>
      <c r="C99" s="32">
        <v>2018</v>
      </c>
      <c r="D99" s="33"/>
      <c r="E99" s="34"/>
      <c r="F99" s="34"/>
      <c r="G99" s="144">
        <v>0</v>
      </c>
    </row>
    <row r="100" spans="1:16" x14ac:dyDescent="0.25">
      <c r="A100" s="534"/>
      <c r="B100" s="535"/>
      <c r="C100" s="32">
        <v>2019</v>
      </c>
      <c r="D100" s="33"/>
      <c r="E100" s="34"/>
      <c r="F100" s="34"/>
      <c r="G100" s="144">
        <v>0</v>
      </c>
    </row>
    <row r="101" spans="1:16" x14ac:dyDescent="0.25">
      <c r="A101" s="534"/>
      <c r="B101" s="535"/>
      <c r="C101" s="32">
        <v>2020</v>
      </c>
      <c r="D101" s="33"/>
      <c r="E101" s="34"/>
      <c r="F101" s="34"/>
      <c r="G101" s="144">
        <v>0</v>
      </c>
    </row>
    <row r="102" spans="1:16" ht="15.75" thickBot="1" x14ac:dyDescent="0.3">
      <c r="A102" s="536"/>
      <c r="B102" s="537"/>
      <c r="C102" s="50" t="s">
        <v>14</v>
      </c>
      <c r="D102" s="51">
        <v>0</v>
      </c>
      <c r="E102" s="52">
        <v>0</v>
      </c>
      <c r="F102" s="52">
        <v>0</v>
      </c>
      <c r="G102" s="145">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v>0</v>
      </c>
      <c r="H108" s="164"/>
      <c r="I108" s="123"/>
      <c r="J108" s="124"/>
    </row>
    <row r="109" spans="1:16" x14ac:dyDescent="0.25">
      <c r="A109" s="534"/>
      <c r="B109" s="535"/>
      <c r="C109" s="163">
        <v>2015</v>
      </c>
      <c r="D109" s="164"/>
      <c r="E109" s="123"/>
      <c r="F109" s="165"/>
      <c r="G109" s="166">
        <v>0</v>
      </c>
      <c r="H109" s="164"/>
      <c r="I109" s="123"/>
      <c r="J109" s="124"/>
    </row>
    <row r="110" spans="1:16" x14ac:dyDescent="0.25">
      <c r="A110" s="534"/>
      <c r="B110" s="535"/>
      <c r="C110" s="163">
        <v>2016</v>
      </c>
      <c r="D110" s="164"/>
      <c r="E110" s="123"/>
      <c r="F110" s="165"/>
      <c r="G110" s="166">
        <v>0</v>
      </c>
      <c r="H110" s="164"/>
      <c r="I110" s="123"/>
      <c r="J110" s="124"/>
    </row>
    <row r="111" spans="1:16" x14ac:dyDescent="0.25">
      <c r="A111" s="534"/>
      <c r="B111" s="535"/>
      <c r="C111" s="163">
        <v>2017</v>
      </c>
      <c r="D111" s="167"/>
      <c r="E111" s="126"/>
      <c r="F111" s="168"/>
      <c r="G111" s="166">
        <v>0</v>
      </c>
      <c r="H111" s="169"/>
      <c r="I111" s="170"/>
      <c r="J111" s="171"/>
    </row>
    <row r="112" spans="1:16" x14ac:dyDescent="0.25">
      <c r="A112" s="534"/>
      <c r="B112" s="535"/>
      <c r="C112" s="163">
        <v>2018</v>
      </c>
      <c r="D112" s="164"/>
      <c r="E112" s="123"/>
      <c r="F112" s="165"/>
      <c r="G112" s="166">
        <v>0</v>
      </c>
      <c r="H112" s="164"/>
      <c r="I112" s="123"/>
      <c r="J112" s="124"/>
    </row>
    <row r="113" spans="1:19" x14ac:dyDescent="0.25">
      <c r="A113" s="534"/>
      <c r="B113" s="535"/>
      <c r="C113" s="163">
        <v>2019</v>
      </c>
      <c r="D113" s="164"/>
      <c r="E113" s="123"/>
      <c r="F113" s="165"/>
      <c r="G113" s="166">
        <v>0</v>
      </c>
      <c r="H113" s="164"/>
      <c r="I113" s="123"/>
      <c r="J113" s="124"/>
    </row>
    <row r="114" spans="1:19" x14ac:dyDescent="0.25">
      <c r="A114" s="534"/>
      <c r="B114" s="535"/>
      <c r="C114" s="163">
        <v>2020</v>
      </c>
      <c r="D114" s="164"/>
      <c r="E114" s="123"/>
      <c r="F114" s="165"/>
      <c r="G114" s="166">
        <v>0</v>
      </c>
      <c r="H114" s="164"/>
      <c r="I114" s="123"/>
      <c r="J114" s="124"/>
    </row>
    <row r="115" spans="1:19" ht="30.6" customHeight="1" thickBot="1" x14ac:dyDescent="0.3">
      <c r="A115" s="536"/>
      <c r="B115" s="537"/>
      <c r="C115" s="172" t="s">
        <v>14</v>
      </c>
      <c r="D115" s="173">
        <v>0</v>
      </c>
      <c r="E115" s="129">
        <v>0</v>
      </c>
      <c r="F115" s="174">
        <v>0</v>
      </c>
      <c r="G115" s="174">
        <v>0</v>
      </c>
      <c r="H115" s="173">
        <v>0</v>
      </c>
      <c r="I115" s="129">
        <v>0</v>
      </c>
      <c r="J115" s="175">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52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v>0</v>
      </c>
      <c r="K118" s="187">
        <v>0</v>
      </c>
    </row>
    <row r="119" spans="1:19" x14ac:dyDescent="0.25">
      <c r="A119" s="534"/>
      <c r="B119" s="535"/>
      <c r="C119" s="32">
        <v>2015</v>
      </c>
      <c r="D119" s="122"/>
      <c r="E119" s="123"/>
      <c r="F119" s="123"/>
      <c r="G119" s="123"/>
      <c r="H119" s="123"/>
      <c r="I119" s="124"/>
      <c r="J119" s="187">
        <v>0</v>
      </c>
      <c r="K119" s="187">
        <v>0</v>
      </c>
    </row>
    <row r="120" spans="1:19" x14ac:dyDescent="0.25">
      <c r="A120" s="534"/>
      <c r="B120" s="535"/>
      <c r="C120" s="32">
        <v>2016</v>
      </c>
      <c r="D120" s="122"/>
      <c r="E120" s="123"/>
      <c r="F120" s="123"/>
      <c r="G120" s="123"/>
      <c r="H120" s="123"/>
      <c r="I120" s="124"/>
      <c r="J120" s="187">
        <v>0</v>
      </c>
      <c r="K120" s="187">
        <v>0</v>
      </c>
    </row>
    <row r="121" spans="1:19" x14ac:dyDescent="0.25">
      <c r="A121" s="534"/>
      <c r="B121" s="535"/>
      <c r="C121" s="32">
        <v>2017</v>
      </c>
      <c r="D121" s="125"/>
      <c r="E121" s="126"/>
      <c r="F121" s="126"/>
      <c r="G121" s="126"/>
      <c r="H121" s="126"/>
      <c r="I121" s="127"/>
      <c r="J121" s="187">
        <v>0</v>
      </c>
      <c r="K121" s="187">
        <v>0</v>
      </c>
    </row>
    <row r="122" spans="1:19" x14ac:dyDescent="0.25">
      <c r="A122" s="534"/>
      <c r="B122" s="535"/>
      <c r="C122" s="32">
        <v>2018</v>
      </c>
      <c r="D122" s="122"/>
      <c r="E122" s="123"/>
      <c r="F122" s="123"/>
      <c r="G122" s="123"/>
      <c r="H122" s="123"/>
      <c r="I122" s="124"/>
      <c r="J122" s="187">
        <v>0</v>
      </c>
      <c r="K122" s="187">
        <v>0</v>
      </c>
    </row>
    <row r="123" spans="1:19" x14ac:dyDescent="0.25">
      <c r="A123" s="534"/>
      <c r="B123" s="535"/>
      <c r="C123" s="32">
        <v>2019</v>
      </c>
      <c r="D123" s="122"/>
      <c r="E123" s="123"/>
      <c r="F123" s="123"/>
      <c r="G123" s="123"/>
      <c r="H123" s="123"/>
      <c r="I123" s="124"/>
      <c r="J123" s="187">
        <v>0</v>
      </c>
      <c r="K123" s="187">
        <v>0</v>
      </c>
    </row>
    <row r="124" spans="1:19" x14ac:dyDescent="0.25">
      <c r="A124" s="534"/>
      <c r="B124" s="535"/>
      <c r="C124" s="32">
        <v>2020</v>
      </c>
      <c r="D124" s="122"/>
      <c r="E124" s="123"/>
      <c r="F124" s="123"/>
      <c r="G124" s="123"/>
      <c r="H124" s="123"/>
      <c r="I124" s="124"/>
      <c r="J124" s="187">
        <v>0</v>
      </c>
      <c r="K124" s="187">
        <v>0</v>
      </c>
    </row>
    <row r="125" spans="1:19" ht="51" customHeight="1" thickBot="1" x14ac:dyDescent="0.3">
      <c r="A125" s="536"/>
      <c r="B125" s="537"/>
      <c r="C125" s="50" t="s">
        <v>14</v>
      </c>
      <c r="D125" s="128"/>
      <c r="E125" s="129">
        <v>0</v>
      </c>
      <c r="F125" s="129"/>
      <c r="G125" s="129">
        <v>0</v>
      </c>
      <c r="H125" s="129"/>
      <c r="I125" s="130">
        <v>0</v>
      </c>
      <c r="J125" s="130">
        <v>0</v>
      </c>
      <c r="K125" s="130">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376</v>
      </c>
      <c r="B131" s="590"/>
      <c r="C131" s="32">
        <v>2014</v>
      </c>
      <c r="D131" s="33"/>
      <c r="E131" s="34"/>
      <c r="F131" s="34"/>
      <c r="G131" s="203">
        <v>0</v>
      </c>
      <c r="H131" s="101"/>
      <c r="I131" s="37"/>
      <c r="J131" s="34"/>
      <c r="K131" s="34"/>
      <c r="L131" s="34"/>
      <c r="M131" s="34"/>
      <c r="N131" s="34"/>
      <c r="O131" s="38"/>
    </row>
    <row r="132" spans="1:15" x14ac:dyDescent="0.25">
      <c r="A132" s="589"/>
      <c r="B132" s="590"/>
      <c r="C132" s="32">
        <v>2015</v>
      </c>
      <c r="D132" s="33"/>
      <c r="E132" s="34"/>
      <c r="F132" s="34"/>
      <c r="G132" s="203">
        <v>0</v>
      </c>
      <c r="H132" s="101"/>
      <c r="I132" s="37"/>
      <c r="J132" s="34"/>
      <c r="K132" s="34"/>
      <c r="L132" s="34"/>
      <c r="M132" s="34"/>
      <c r="N132" s="34"/>
      <c r="O132" s="38"/>
    </row>
    <row r="133" spans="1:15" x14ac:dyDescent="0.25">
      <c r="A133" s="589"/>
      <c r="B133" s="590"/>
      <c r="C133" s="32">
        <v>2016</v>
      </c>
      <c r="D133" s="33"/>
      <c r="E133" s="34"/>
      <c r="F133" s="34"/>
      <c r="G133" s="203">
        <v>0</v>
      </c>
      <c r="H133" s="101"/>
      <c r="I133" s="37"/>
      <c r="J133" s="34"/>
      <c r="K133" s="34"/>
      <c r="L133" s="34"/>
      <c r="M133" s="34"/>
      <c r="N133" s="34"/>
      <c r="O133" s="38"/>
    </row>
    <row r="134" spans="1:15" x14ac:dyDescent="0.25">
      <c r="A134" s="589"/>
      <c r="B134" s="590"/>
      <c r="C134" s="32">
        <v>2017</v>
      </c>
      <c r="D134" s="39"/>
      <c r="E134" s="40"/>
      <c r="F134" s="40"/>
      <c r="G134" s="203">
        <v>0</v>
      </c>
      <c r="H134" s="101"/>
      <c r="I134" s="42"/>
      <c r="J134" s="40"/>
      <c r="K134" s="40"/>
      <c r="L134" s="40"/>
      <c r="M134" s="40"/>
      <c r="N134" s="40"/>
      <c r="O134" s="43"/>
    </row>
    <row r="135" spans="1:15" x14ac:dyDescent="0.25">
      <c r="A135" s="589"/>
      <c r="B135" s="590"/>
      <c r="C135" s="32">
        <v>2018</v>
      </c>
      <c r="D135" s="33">
        <v>144</v>
      </c>
      <c r="E135" s="33">
        <v>20</v>
      </c>
      <c r="F135" s="33">
        <v>17</v>
      </c>
      <c r="G135" s="203">
        <v>181</v>
      </c>
      <c r="H135" s="101">
        <v>288</v>
      </c>
      <c r="I135" s="37">
        <v>10</v>
      </c>
      <c r="J135" s="34">
        <v>17</v>
      </c>
      <c r="K135" s="34">
        <v>43</v>
      </c>
      <c r="L135" s="34">
        <v>38</v>
      </c>
      <c r="M135" s="34">
        <v>1</v>
      </c>
      <c r="N135" s="34">
        <v>70</v>
      </c>
      <c r="O135" s="38">
        <v>2</v>
      </c>
    </row>
    <row r="136" spans="1:15" x14ac:dyDescent="0.25">
      <c r="A136" s="589"/>
      <c r="B136" s="590"/>
      <c r="C136" s="32">
        <v>2019</v>
      </c>
      <c r="D136" s="33"/>
      <c r="E136" s="34"/>
      <c r="F136" s="34"/>
      <c r="G136" s="203">
        <v>0</v>
      </c>
      <c r="H136" s="101"/>
      <c r="I136" s="37"/>
      <c r="J136" s="34"/>
      <c r="K136" s="34"/>
      <c r="L136" s="34"/>
      <c r="M136" s="34"/>
      <c r="N136" s="34"/>
      <c r="O136" s="38"/>
    </row>
    <row r="137" spans="1:15" x14ac:dyDescent="0.25">
      <c r="A137" s="589"/>
      <c r="B137" s="590"/>
      <c r="C137" s="32">
        <v>2020</v>
      </c>
      <c r="D137" s="33"/>
      <c r="E137" s="34"/>
      <c r="F137" s="34"/>
      <c r="G137" s="203">
        <v>0</v>
      </c>
      <c r="H137" s="101"/>
      <c r="I137" s="37"/>
      <c r="J137" s="34"/>
      <c r="K137" s="34"/>
      <c r="L137" s="34"/>
      <c r="M137" s="34"/>
      <c r="N137" s="34"/>
      <c r="O137" s="38"/>
    </row>
    <row r="138" spans="1:15" ht="194.25" customHeight="1" thickBot="1" x14ac:dyDescent="0.3">
      <c r="A138" s="591"/>
      <c r="B138" s="592"/>
      <c r="C138" s="50" t="s">
        <v>14</v>
      </c>
      <c r="D138" s="51">
        <v>144</v>
      </c>
      <c r="E138" s="52">
        <v>20</v>
      </c>
      <c r="F138" s="52">
        <v>17</v>
      </c>
      <c r="G138" s="205">
        <v>181</v>
      </c>
      <c r="H138" s="206">
        <v>288</v>
      </c>
      <c r="I138" s="85">
        <v>10</v>
      </c>
      <c r="J138" s="52">
        <v>17</v>
      </c>
      <c r="K138" s="52">
        <v>43</v>
      </c>
      <c r="L138" s="52">
        <v>38</v>
      </c>
      <c r="M138" s="52">
        <v>1</v>
      </c>
      <c r="N138" s="52">
        <v>70</v>
      </c>
      <c r="O138" s="86">
        <v>2</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9" t="s">
        <v>376</v>
      </c>
      <c r="B142" s="590"/>
      <c r="C142" s="212">
        <v>2014</v>
      </c>
      <c r="D142" s="213"/>
      <c r="E142" s="80"/>
      <c r="F142" s="80"/>
      <c r="G142" s="214">
        <v>0</v>
      </c>
      <c r="H142" s="79"/>
      <c r="I142" s="80"/>
      <c r="J142" s="80"/>
      <c r="K142" s="80"/>
      <c r="L142" s="81"/>
    </row>
    <row r="143" spans="1:15" x14ac:dyDescent="0.25">
      <c r="A143" s="589"/>
      <c r="B143" s="590"/>
      <c r="C143" s="32">
        <v>2015</v>
      </c>
      <c r="D143" s="33"/>
      <c r="E143" s="34"/>
      <c r="F143" s="34"/>
      <c r="G143" s="214">
        <v>0</v>
      </c>
      <c r="H143" s="37"/>
      <c r="I143" s="34"/>
      <c r="J143" s="34"/>
      <c r="K143" s="34"/>
      <c r="L143" s="38"/>
    </row>
    <row r="144" spans="1:15" x14ac:dyDescent="0.25">
      <c r="A144" s="589"/>
      <c r="B144" s="590"/>
      <c r="C144" s="32">
        <v>2016</v>
      </c>
      <c r="D144" s="33"/>
      <c r="E144" s="34"/>
      <c r="F144" s="34"/>
      <c r="G144" s="214">
        <v>0</v>
      </c>
      <c r="H144" s="37"/>
      <c r="I144" s="34"/>
      <c r="J144" s="34"/>
      <c r="K144" s="34"/>
      <c r="L144" s="38"/>
    </row>
    <row r="145" spans="1:15" x14ac:dyDescent="0.25">
      <c r="A145" s="589"/>
      <c r="B145" s="590"/>
      <c r="C145" s="32">
        <v>2017</v>
      </c>
      <c r="D145" s="39"/>
      <c r="E145" s="40"/>
      <c r="F145" s="40"/>
      <c r="G145" s="214">
        <v>0</v>
      </c>
      <c r="H145" s="42"/>
      <c r="I145" s="40"/>
      <c r="J145" s="40"/>
      <c r="K145" s="40"/>
      <c r="L145" s="43"/>
    </row>
    <row r="146" spans="1:15" x14ac:dyDescent="0.25">
      <c r="A146" s="589"/>
      <c r="B146" s="590"/>
      <c r="C146" s="32">
        <v>2018</v>
      </c>
      <c r="D146" s="33">
        <v>6350</v>
      </c>
      <c r="E146" s="33">
        <v>2763</v>
      </c>
      <c r="F146" s="33">
        <v>1758</v>
      </c>
      <c r="G146" s="214">
        <v>10871</v>
      </c>
      <c r="H146" s="37">
        <v>27</v>
      </c>
      <c r="I146" s="34">
        <v>2280</v>
      </c>
      <c r="J146" s="34">
        <v>946</v>
      </c>
      <c r="K146" s="34">
        <v>2747</v>
      </c>
      <c r="L146" s="38">
        <v>4555</v>
      </c>
    </row>
    <row r="147" spans="1:15" x14ac:dyDescent="0.25">
      <c r="A147" s="589"/>
      <c r="B147" s="590"/>
      <c r="C147" s="32">
        <v>2019</v>
      </c>
      <c r="D147" s="33"/>
      <c r="E147" s="34"/>
      <c r="F147" s="34"/>
      <c r="G147" s="214">
        <v>0</v>
      </c>
      <c r="H147" s="37"/>
      <c r="I147" s="34"/>
      <c r="J147" s="34"/>
      <c r="K147" s="34"/>
      <c r="L147" s="38"/>
    </row>
    <row r="148" spans="1:15" x14ac:dyDescent="0.25">
      <c r="A148" s="589"/>
      <c r="B148" s="590"/>
      <c r="C148" s="32">
        <v>2020</v>
      </c>
      <c r="D148" s="33"/>
      <c r="E148" s="34"/>
      <c r="F148" s="34"/>
      <c r="G148" s="214">
        <v>0</v>
      </c>
      <c r="H148" s="37"/>
      <c r="I148" s="34"/>
      <c r="J148" s="34"/>
      <c r="K148" s="34"/>
      <c r="L148" s="38"/>
    </row>
    <row r="149" spans="1:15" ht="15.75" thickBot="1" x14ac:dyDescent="0.3">
      <c r="A149" s="591"/>
      <c r="B149" s="592"/>
      <c r="C149" s="50" t="s">
        <v>14</v>
      </c>
      <c r="D149" s="51">
        <v>6350</v>
      </c>
      <c r="E149" s="52">
        <v>2763</v>
      </c>
      <c r="F149" s="52">
        <v>1758</v>
      </c>
      <c r="G149" s="54">
        <v>10871</v>
      </c>
      <c r="H149" s="85">
        <v>27</v>
      </c>
      <c r="I149" s="52">
        <v>2280</v>
      </c>
      <c r="J149" s="52">
        <v>946</v>
      </c>
      <c r="K149" s="52">
        <v>2747</v>
      </c>
      <c r="L149" s="86">
        <v>4555</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v>9</v>
      </c>
      <c r="E159" s="34"/>
      <c r="F159" s="34"/>
      <c r="G159" s="38"/>
    </row>
    <row r="160" spans="1:15" x14ac:dyDescent="0.25">
      <c r="A160" s="540"/>
      <c r="B160" s="541"/>
      <c r="C160" s="32">
        <v>2019</v>
      </c>
      <c r="D160" s="33"/>
      <c r="E160" s="34"/>
      <c r="F160" s="34"/>
      <c r="G160" s="38"/>
    </row>
    <row r="161" spans="1:10" x14ac:dyDescent="0.25">
      <c r="A161" s="540"/>
      <c r="B161" s="541"/>
      <c r="C161" s="32">
        <v>2020</v>
      </c>
      <c r="D161" s="222"/>
      <c r="E161" s="223"/>
      <c r="F161" s="223"/>
      <c r="G161" s="224"/>
    </row>
    <row r="162" spans="1:10" ht="15.75" thickBot="1" x14ac:dyDescent="0.3">
      <c r="A162" s="542"/>
      <c r="B162" s="543"/>
      <c r="C162" s="50" t="s">
        <v>14</v>
      </c>
      <c r="D162" s="51">
        <v>9</v>
      </c>
      <c r="E162" s="52">
        <v>0</v>
      </c>
      <c r="F162" s="52">
        <v>0</v>
      </c>
      <c r="G162" s="86">
        <v>0</v>
      </c>
      <c r="I162" s="513"/>
    </row>
    <row r="163" spans="1:10" x14ac:dyDescent="0.25">
      <c r="B163" s="10"/>
    </row>
    <row r="164" spans="1:10" ht="15.75" thickBot="1" x14ac:dyDescent="0.3">
      <c r="B164" s="10"/>
    </row>
    <row r="165" spans="1:10" ht="18.75" x14ac:dyDescent="0.3">
      <c r="A165" s="225" t="s">
        <v>107</v>
      </c>
      <c r="B165" s="226" t="s">
        <v>108</v>
      </c>
      <c r="C165" s="227">
        <v>2014</v>
      </c>
      <c r="D165" s="227">
        <v>2015</v>
      </c>
      <c r="E165" s="227">
        <v>2016</v>
      </c>
      <c r="F165" s="227">
        <v>2017</v>
      </c>
      <c r="G165" s="227">
        <v>2018</v>
      </c>
      <c r="H165" s="227">
        <v>2019</v>
      </c>
      <c r="I165" s="228">
        <v>2020</v>
      </c>
    </row>
    <row r="166" spans="1:10" ht="14.1" customHeight="1" x14ac:dyDescent="0.25">
      <c r="A166" s="229" t="s">
        <v>109</v>
      </c>
      <c r="B166" s="528"/>
      <c r="C166" s="230">
        <v>0</v>
      </c>
      <c r="D166" s="230">
        <v>0</v>
      </c>
      <c r="E166" s="230">
        <v>0</v>
      </c>
      <c r="F166" s="230">
        <v>0</v>
      </c>
      <c r="G166" s="372">
        <v>10815686.029999999</v>
      </c>
      <c r="H166" s="230">
        <v>0</v>
      </c>
      <c r="I166" s="231">
        <v>0</v>
      </c>
    </row>
    <row r="167" spans="1:10" ht="15.75" x14ac:dyDescent="0.25">
      <c r="A167" s="232" t="s">
        <v>111</v>
      </c>
      <c r="B167" s="243"/>
      <c r="C167" s="78"/>
      <c r="D167" s="78"/>
      <c r="E167" s="78"/>
      <c r="F167" s="82"/>
      <c r="G167" s="289">
        <v>7572026.0899999999</v>
      </c>
      <c r="H167" s="78"/>
      <c r="I167" s="233"/>
      <c r="J167" t="s">
        <v>377</v>
      </c>
    </row>
    <row r="168" spans="1:10" ht="15.75" x14ac:dyDescent="0.25">
      <c r="A168" s="232" t="s">
        <v>112</v>
      </c>
      <c r="B168" s="243"/>
      <c r="C168" s="78"/>
      <c r="D168" s="78"/>
      <c r="E168" s="78"/>
      <c r="F168" s="82"/>
      <c r="G168" s="289">
        <v>952311.27</v>
      </c>
      <c r="H168" s="78"/>
      <c r="I168" s="233"/>
    </row>
    <row r="169" spans="1:10" ht="15.75" x14ac:dyDescent="0.25">
      <c r="A169" s="232" t="s">
        <v>113</v>
      </c>
      <c r="B169" s="243"/>
      <c r="C169" s="78"/>
      <c r="D169" s="78"/>
      <c r="E169" s="78"/>
      <c r="F169" s="82"/>
      <c r="G169" s="289">
        <v>2290278.5700000003</v>
      </c>
      <c r="H169" s="78"/>
      <c r="I169" s="233"/>
    </row>
    <row r="170" spans="1:10" ht="31.5" x14ac:dyDescent="0.25">
      <c r="A170" s="234" t="s">
        <v>114</v>
      </c>
      <c r="B170" s="243"/>
      <c r="C170" s="78"/>
      <c r="D170" s="78"/>
      <c r="E170" s="78"/>
      <c r="F170" s="82"/>
      <c r="G170" s="289">
        <v>3214873.09</v>
      </c>
      <c r="H170" s="78"/>
      <c r="I170" s="233"/>
    </row>
    <row r="171" spans="1:10" ht="16.5" thickBot="1" x14ac:dyDescent="0.3">
      <c r="A171" s="235" t="s">
        <v>115</v>
      </c>
      <c r="B171" s="244"/>
      <c r="C171" s="236">
        <v>0</v>
      </c>
      <c r="D171" s="236">
        <v>0</v>
      </c>
      <c r="E171" s="236">
        <v>0</v>
      </c>
      <c r="F171" s="236">
        <v>0</v>
      </c>
      <c r="G171" s="290">
        <v>10815686.029999999</v>
      </c>
      <c r="H171" s="236">
        <v>0</v>
      </c>
      <c r="I171" s="86">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1"/>
  <sheetViews>
    <sheetView topLeftCell="A52" workbookViewId="0">
      <selection activeCell="I111" sqref="I111"/>
    </sheetView>
  </sheetViews>
  <sheetFormatPr defaultColWidth="8.85546875" defaultRowHeight="15" x14ac:dyDescent="0.25"/>
  <cols>
    <col min="1" max="1" width="87.28515625" customWidth="1"/>
    <col min="2" max="2" width="46.1406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250</v>
      </c>
    </row>
    <row r="5" spans="1:17" s="2" customFormat="1" ht="15.75" x14ac:dyDescent="0.25">
      <c r="A5" s="239" t="s">
        <v>251</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363</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c r="E16" s="34">
        <v>17</v>
      </c>
      <c r="F16" s="34"/>
      <c r="G16" s="35">
        <v>3</v>
      </c>
      <c r="H16" s="36">
        <f t="shared" si="0"/>
        <v>20</v>
      </c>
      <c r="I16" s="37">
        <v>17</v>
      </c>
      <c r="J16" s="34"/>
      <c r="K16" s="34"/>
      <c r="L16" s="34"/>
      <c r="M16" s="34"/>
      <c r="N16" s="34"/>
      <c r="O16" s="38">
        <v>3</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117" customHeight="1" thickBot="1" x14ac:dyDescent="0.3">
      <c r="A19" s="536"/>
      <c r="B19" s="537"/>
      <c r="C19" s="50" t="s">
        <v>14</v>
      </c>
      <c r="D19" s="51">
        <f>SUM(D12:D18)</f>
        <v>0</v>
      </c>
      <c r="E19" s="52">
        <f>SUM(E12:E18)</f>
        <v>17</v>
      </c>
      <c r="F19" s="52">
        <f>SUM(F12:F18)</f>
        <v>0</v>
      </c>
      <c r="G19" s="53"/>
      <c r="H19" s="54">
        <f>SUM(D19:F19)</f>
        <v>17</v>
      </c>
      <c r="I19" s="85">
        <f>SUM(I12:I18)</f>
        <v>17</v>
      </c>
      <c r="J19" s="52"/>
      <c r="K19" s="52">
        <f>SUM(K12:K18)</f>
        <v>0</v>
      </c>
      <c r="L19" s="52">
        <f>SUM(L12:L18)</f>
        <v>0</v>
      </c>
      <c r="M19" s="52">
        <f>SUM(M12:M18)</f>
        <v>0</v>
      </c>
      <c r="N19" s="52">
        <f>SUM(N12:N18)</f>
        <v>0</v>
      </c>
      <c r="O19" s="86">
        <f>SUM(O12:O18)</f>
        <v>3</v>
      </c>
      <c r="P19" s="11"/>
      <c r="Q19" s="11"/>
    </row>
    <row r="20" spans="1:17" ht="18.75" customHeight="1"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91" t="s">
        <v>23</v>
      </c>
      <c r="C22" s="533"/>
      <c r="D22" s="62" t="s">
        <v>10</v>
      </c>
      <c r="E22" s="63" t="s">
        <v>11</v>
      </c>
      <c r="F22" s="63" t="s">
        <v>12</v>
      </c>
      <c r="G22" s="64" t="s">
        <v>13</v>
      </c>
      <c r="H22" s="25" t="s">
        <v>14</v>
      </c>
    </row>
    <row r="23" spans="1:17" ht="15" customHeight="1" x14ac:dyDescent="0.25">
      <c r="A23" s="534" t="s">
        <v>364</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c r="E27" s="34">
        <f>SUM(140+140+120+120+150+150+31+31+51+51+70+66+39+34+44+43+40+44+42+50+39+400+80+100+109)</f>
        <v>2184</v>
      </c>
      <c r="F27" s="34"/>
      <c r="G27" s="35">
        <v>157000</v>
      </c>
      <c r="H27" s="36">
        <f t="shared" si="1"/>
        <v>159184</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133.5" customHeight="1" thickBot="1" x14ac:dyDescent="0.3">
      <c r="A30" s="536"/>
      <c r="B30" s="537"/>
      <c r="C30" s="50" t="s">
        <v>14</v>
      </c>
      <c r="D30" s="51">
        <f>SUM(D23:D29)</f>
        <v>0</v>
      </c>
      <c r="E30" s="52">
        <f>SUM(E23:E29)</f>
        <v>2184</v>
      </c>
      <c r="F30" s="52">
        <f>SUM(F23:F29)</f>
        <v>0</v>
      </c>
      <c r="G30" s="52">
        <f>SUM(G23:G29)</f>
        <v>157000</v>
      </c>
      <c r="H30" s="54">
        <f t="shared" ref="H30" si="2">SUM(D30:F30)</f>
        <v>2184</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252</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17</v>
      </c>
      <c r="E40" s="37">
        <v>17</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17</v>
      </c>
      <c r="E43" s="85">
        <f t="shared" ref="E43:J43" si="3">SUM(E36:E42)</f>
        <v>17</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253</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53">
        <v>91</v>
      </c>
      <c r="E89" s="122">
        <v>91</v>
      </c>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91</v>
      </c>
      <c r="E92" s="128">
        <f t="shared" si="7"/>
        <v>91</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89" t="s">
        <v>6</v>
      </c>
      <c r="D94" s="139" t="s">
        <v>51</v>
      </c>
      <c r="E94" s="140"/>
      <c r="F94" s="140"/>
      <c r="G94" s="141"/>
      <c r="H94" s="11"/>
      <c r="I94" s="11"/>
      <c r="J94" s="11"/>
      <c r="K94" s="11"/>
      <c r="O94" s="9"/>
      <c r="P94" s="9"/>
    </row>
    <row r="95" spans="1:17" s="9" customFormat="1" ht="64.5" x14ac:dyDescent="0.25">
      <c r="A95" s="559"/>
      <c r="B95" s="561"/>
      <c r="C95" s="490"/>
      <c r="D95" s="115" t="s">
        <v>52</v>
      </c>
      <c r="E95" s="116" t="s">
        <v>53</v>
      </c>
      <c r="F95" s="116" t="s">
        <v>54</v>
      </c>
      <c r="G95" s="143" t="s">
        <v>14</v>
      </c>
      <c r="H95" s="11"/>
      <c r="I95" s="11"/>
      <c r="J95" s="11"/>
      <c r="K95" s="11"/>
      <c r="L95" s="11"/>
      <c r="M95" s="11"/>
      <c r="N95" s="11"/>
    </row>
    <row r="96" spans="1:17" s="11" customFormat="1" ht="26.25" customHeight="1" x14ac:dyDescent="0.25">
      <c r="A96" s="534" t="s">
        <v>254</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v>182</v>
      </c>
      <c r="G99" s="144">
        <f t="shared" si="8"/>
        <v>182</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182</v>
      </c>
      <c r="G102" s="145">
        <f>SUM(G95:G101)</f>
        <v>182</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255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v>4</v>
      </c>
      <c r="G112" s="166">
        <f t="shared" si="9"/>
        <v>4</v>
      </c>
      <c r="H112" s="164"/>
      <c r="I112" s="123"/>
      <c r="J112" s="124">
        <v>4</v>
      </c>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4</v>
      </c>
      <c r="G115" s="174">
        <f t="shared" si="10"/>
        <v>4</v>
      </c>
      <c r="H115" s="173">
        <f t="shared" si="10"/>
        <v>0</v>
      </c>
      <c r="I115" s="129">
        <f t="shared" si="10"/>
        <v>0</v>
      </c>
      <c r="J115" s="175">
        <f t="shared" si="10"/>
        <v>4</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88" t="s">
        <v>38</v>
      </c>
      <c r="C117" s="182" t="s">
        <v>6</v>
      </c>
      <c r="D117" s="183" t="s">
        <v>68</v>
      </c>
      <c r="E117" s="184" t="s">
        <v>69</v>
      </c>
      <c r="F117" s="184" t="s">
        <v>70</v>
      </c>
      <c r="G117" s="184" t="s">
        <v>71</v>
      </c>
      <c r="H117" s="184" t="s">
        <v>72</v>
      </c>
      <c r="I117" s="185" t="s">
        <v>73</v>
      </c>
      <c r="J117" s="186" t="s">
        <v>74</v>
      </c>
      <c r="K117" s="186" t="s">
        <v>75</v>
      </c>
    </row>
    <row r="118" spans="1:19" x14ac:dyDescent="0.25">
      <c r="A118" s="534" t="s">
        <v>256</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v>12</v>
      </c>
      <c r="J122" s="187">
        <f t="shared" si="11"/>
        <v>0</v>
      </c>
      <c r="K122" s="187">
        <f t="shared" si="11"/>
        <v>12</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12</v>
      </c>
      <c r="J125" s="130">
        <f>SUM(J118:J124)</f>
        <v>0</v>
      </c>
      <c r="K125" s="130">
        <f>SUM(K118:K124)</f>
        <v>12</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365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9</v>
      </c>
      <c r="E135" s="34">
        <v>1</v>
      </c>
      <c r="F135" s="34">
        <v>1</v>
      </c>
      <c r="G135" s="203">
        <f>SUM(D135:F135)</f>
        <v>11</v>
      </c>
      <c r="H135" s="101">
        <v>28</v>
      </c>
      <c r="I135" s="37">
        <v>11</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69" customHeight="1" thickBot="1" x14ac:dyDescent="0.3">
      <c r="A138" s="591"/>
      <c r="B138" s="592"/>
      <c r="C138" s="50" t="s">
        <v>14</v>
      </c>
      <c r="D138" s="51">
        <f>SUM(D131:D137)</f>
        <v>9</v>
      </c>
      <c r="E138" s="52">
        <f>SUM(E131:E137)</f>
        <v>1</v>
      </c>
      <c r="F138" s="52">
        <f>SUM(F131:F137)</f>
        <v>1</v>
      </c>
      <c r="G138" s="205">
        <f t="shared" ref="G138:O138" si="13">SUM(G131:G137)</f>
        <v>11</v>
      </c>
      <c r="H138" s="206">
        <f t="shared" si="13"/>
        <v>28</v>
      </c>
      <c r="I138" s="85">
        <f t="shared" si="13"/>
        <v>11</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366</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f>SUM(31+31+51+51+70+66+39+34+44+43+40+44+42+50+39+109)</f>
        <v>784</v>
      </c>
      <c r="E146" s="34">
        <v>250</v>
      </c>
      <c r="F146" s="34">
        <v>480</v>
      </c>
      <c r="G146" s="214">
        <f>SUM(D146:F146)</f>
        <v>1514</v>
      </c>
      <c r="H146" s="37">
        <f>SUM(3+3+5+5+9+9)</f>
        <v>34</v>
      </c>
      <c r="I146" s="34"/>
      <c r="J146" s="34">
        <f>SUM(12+10+48+4+39+44+43+40+44+42+50+39+30)</f>
        <v>445</v>
      </c>
      <c r="K146" s="34">
        <f>SUM(G146-H146-J146)</f>
        <v>1035</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56.25" customHeight="1" thickBot="1" x14ac:dyDescent="0.3">
      <c r="A149" s="536"/>
      <c r="B149" s="537"/>
      <c r="C149" s="50" t="s">
        <v>14</v>
      </c>
      <c r="D149" s="51">
        <f t="shared" ref="D149:L149" si="15">SUM(D142:D148)</f>
        <v>784</v>
      </c>
      <c r="E149" s="52">
        <f t="shared" si="15"/>
        <v>250</v>
      </c>
      <c r="F149" s="52">
        <f t="shared" si="15"/>
        <v>480</v>
      </c>
      <c r="G149" s="54">
        <f t="shared" si="15"/>
        <v>1514</v>
      </c>
      <c r="H149" s="85">
        <f t="shared" si="15"/>
        <v>34</v>
      </c>
      <c r="I149" s="52">
        <f t="shared" si="15"/>
        <v>0</v>
      </c>
      <c r="J149" s="52">
        <f t="shared" si="15"/>
        <v>445</v>
      </c>
      <c r="K149" s="52">
        <f t="shared" si="15"/>
        <v>1035</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83" t="s">
        <v>257</v>
      </c>
      <c r="C166" s="230">
        <f>SUM(C167:C169)</f>
        <v>0</v>
      </c>
      <c r="D166" s="230">
        <f t="shared" ref="D166:I166" si="16">SUM(D167:D169)</f>
        <v>0</v>
      </c>
      <c r="E166" s="230">
        <f t="shared" si="16"/>
        <v>0</v>
      </c>
      <c r="F166" s="230">
        <f t="shared" si="16"/>
        <v>0</v>
      </c>
      <c r="G166" s="372">
        <f t="shared" si="16"/>
        <v>759009.94</v>
      </c>
      <c r="H166" s="230">
        <f t="shared" si="16"/>
        <v>0</v>
      </c>
      <c r="I166" s="231">
        <f t="shared" si="16"/>
        <v>0</v>
      </c>
    </row>
    <row r="167" spans="1:9" ht="15.75" x14ac:dyDescent="0.25">
      <c r="A167" s="232" t="s">
        <v>111</v>
      </c>
      <c r="B167" s="584"/>
      <c r="C167" s="78"/>
      <c r="D167" s="78"/>
      <c r="E167" s="78"/>
      <c r="F167" s="82"/>
      <c r="G167" s="289">
        <f>SUM(87365.43+32582.63+69334.63+67986+44993.4)</f>
        <v>302262.09000000003</v>
      </c>
      <c r="H167" s="78"/>
      <c r="I167" s="233"/>
    </row>
    <row r="168" spans="1:9" ht="15.75" x14ac:dyDescent="0.25">
      <c r="A168" s="232" t="s">
        <v>112</v>
      </c>
      <c r="B168" s="584"/>
      <c r="C168" s="78"/>
      <c r="D168" s="78"/>
      <c r="E168" s="78"/>
      <c r="F168" s="82"/>
      <c r="G168" s="289">
        <f>SUM(26527+9225+3690)</f>
        <v>39442</v>
      </c>
      <c r="H168" s="78"/>
      <c r="I168" s="233"/>
    </row>
    <row r="169" spans="1:9" ht="15.75" x14ac:dyDescent="0.25">
      <c r="A169" s="232" t="s">
        <v>113</v>
      </c>
      <c r="B169" s="584"/>
      <c r="C169" s="78"/>
      <c r="D169" s="78"/>
      <c r="E169" s="78"/>
      <c r="F169" s="82"/>
      <c r="G169" s="289">
        <f>SUM(6684.78+43301.01+51516.67+124185+191618.39)</f>
        <v>417305.85</v>
      </c>
      <c r="H169" s="78"/>
      <c r="I169" s="233"/>
    </row>
    <row r="170" spans="1:9" ht="240" customHeight="1" x14ac:dyDescent="0.25">
      <c r="A170" s="234" t="s">
        <v>114</v>
      </c>
      <c r="B170" s="584"/>
      <c r="C170" s="78"/>
      <c r="D170" s="78"/>
      <c r="E170" s="78"/>
      <c r="F170" s="82"/>
      <c r="G170" s="289">
        <v>1090177.1200000001</v>
      </c>
      <c r="H170" s="78"/>
      <c r="I170" s="233"/>
    </row>
    <row r="171" spans="1:9" ht="16.5" thickBot="1" x14ac:dyDescent="0.3">
      <c r="A171" s="235" t="s">
        <v>115</v>
      </c>
      <c r="B171" s="585"/>
      <c r="C171" s="236">
        <f t="shared" ref="C171:I171" si="17">C166+C170</f>
        <v>0</v>
      </c>
      <c r="D171" s="236">
        <f t="shared" si="17"/>
        <v>0</v>
      </c>
      <c r="E171" s="236">
        <f t="shared" si="17"/>
        <v>0</v>
      </c>
      <c r="F171" s="236">
        <f t="shared" si="17"/>
        <v>0</v>
      </c>
      <c r="G171" s="290">
        <f t="shared" si="17"/>
        <v>1849187.06</v>
      </c>
      <c r="H171" s="236">
        <f t="shared" si="17"/>
        <v>0</v>
      </c>
      <c r="I171" s="86">
        <f t="shared" si="17"/>
        <v>0</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opLeftCell="A52" workbookViewId="0">
      <selection activeCell="A12" sqref="A12:B19"/>
    </sheetView>
  </sheetViews>
  <sheetFormatPr defaultColWidth="8.85546875" defaultRowHeight="15" x14ac:dyDescent="0.25"/>
  <cols>
    <col min="1" max="1" width="87.28515625" customWidth="1"/>
    <col min="2" max="2" width="47.855468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382</v>
      </c>
    </row>
    <row r="5" spans="1:17" s="2" customFormat="1" ht="15.75" x14ac:dyDescent="0.25">
      <c r="A5" s="239" t="s">
        <v>258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383</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8</v>
      </c>
      <c r="E16" s="34"/>
      <c r="F16" s="34"/>
      <c r="G16" s="35"/>
      <c r="H16" s="36">
        <f t="shared" si="0"/>
        <v>8</v>
      </c>
      <c r="I16" s="37">
        <v>8</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8</v>
      </c>
      <c r="E19" s="52">
        <f>SUM(E12:E18)</f>
        <v>0</v>
      </c>
      <c r="F19" s="52">
        <f>SUM(F12:F18)</f>
        <v>0</v>
      </c>
      <c r="G19" s="53"/>
      <c r="H19" s="54">
        <f>SUM(D19:F19)</f>
        <v>8</v>
      </c>
      <c r="I19" s="85">
        <f>SUM(I12:I18)</f>
        <v>8</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517" t="s">
        <v>23</v>
      </c>
      <c r="C22" s="533"/>
      <c r="D22" s="62" t="s">
        <v>10</v>
      </c>
      <c r="E22" s="63" t="s">
        <v>11</v>
      </c>
      <c r="F22" s="63" t="s">
        <v>12</v>
      </c>
      <c r="G22" s="64" t="s">
        <v>13</v>
      </c>
      <c r="H22" s="25" t="s">
        <v>14</v>
      </c>
    </row>
    <row r="23" spans="1:17" ht="15" customHeight="1" x14ac:dyDescent="0.25">
      <c r="A23" s="534" t="s">
        <v>384</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f>90+16+60+30+90+18</f>
        <v>304</v>
      </c>
      <c r="E27" s="34"/>
      <c r="F27" s="34"/>
      <c r="G27" s="35"/>
      <c r="H27" s="36">
        <f t="shared" si="1"/>
        <v>304</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304</v>
      </c>
      <c r="E30" s="52">
        <f>SUM(E23:E29)</f>
        <v>0</v>
      </c>
      <c r="F30" s="52">
        <f>SUM(F23:F29)</f>
        <v>0</v>
      </c>
      <c r="G30" s="52">
        <f>SUM(G23:G29)</f>
        <v>0</v>
      </c>
      <c r="H30" s="54">
        <f t="shared" ref="H30" si="2">SUM(D30:F30)</f>
        <v>304</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385</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1</v>
      </c>
      <c r="E40" s="37">
        <v>1</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1</v>
      </c>
      <c r="E43" s="85">
        <f t="shared" ref="E43:J43" si="3">SUM(E36:E42)</f>
        <v>1</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515" t="s">
        <v>6</v>
      </c>
      <c r="D94" s="139" t="s">
        <v>51</v>
      </c>
      <c r="E94" s="140"/>
      <c r="F94" s="140"/>
      <c r="G94" s="141"/>
      <c r="H94" s="11"/>
      <c r="I94" s="11"/>
      <c r="J94" s="11"/>
      <c r="K94" s="11"/>
      <c r="O94" s="9"/>
      <c r="P94" s="9"/>
    </row>
    <row r="95" spans="1:17" s="9" customFormat="1" ht="64.5" x14ac:dyDescent="0.25">
      <c r="A95" s="559"/>
      <c r="B95" s="561"/>
      <c r="C95" s="51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514"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386</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5</v>
      </c>
      <c r="E135" s="34">
        <v>1</v>
      </c>
      <c r="F135" s="34">
        <v>2</v>
      </c>
      <c r="G135" s="203">
        <f>SUM(D135:F135)</f>
        <v>8</v>
      </c>
      <c r="H135" s="101">
        <f>1+3+1+2+3+5</f>
        <v>15</v>
      </c>
      <c r="I135" s="37">
        <v>8</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5</v>
      </c>
      <c r="E138" s="52">
        <f>SUM(E131:E137)</f>
        <v>1</v>
      </c>
      <c r="F138" s="52">
        <f>SUM(F131:F137)</f>
        <v>2</v>
      </c>
      <c r="G138" s="205">
        <f t="shared" ref="G138:O138" si="13">SUM(G131:G137)</f>
        <v>8</v>
      </c>
      <c r="H138" s="206">
        <f t="shared" si="13"/>
        <v>15</v>
      </c>
      <c r="I138" s="85">
        <f t="shared" si="13"/>
        <v>8</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387</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f>(16*3)+(30*2)+90</f>
        <v>198</v>
      </c>
      <c r="E146" s="34">
        <f>(18*5)</f>
        <v>90</v>
      </c>
      <c r="F146" s="34">
        <f>90+60</f>
        <v>150</v>
      </c>
      <c r="G146" s="214">
        <f t="shared" si="14"/>
        <v>438</v>
      </c>
      <c r="H146" s="37"/>
      <c r="I146" s="34">
        <f>1+2+(2*2)</f>
        <v>7</v>
      </c>
      <c r="J146" s="34">
        <f>20+(2*3)+8+(4*2)+15+(4*5)</f>
        <v>77</v>
      </c>
      <c r="K146" s="34">
        <f>53+(14*3)+17+(2*2)+75+(7*5)</f>
        <v>226</v>
      </c>
      <c r="L146" s="38">
        <f>16+33+(22*2)+(7*5)</f>
        <v>128</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82.5" customHeight="1" thickBot="1" x14ac:dyDescent="0.3">
      <c r="A149" s="536"/>
      <c r="B149" s="537"/>
      <c r="C149" s="50" t="s">
        <v>14</v>
      </c>
      <c r="D149" s="51">
        <f t="shared" ref="D149:L149" si="15">SUM(D142:D148)</f>
        <v>198</v>
      </c>
      <c r="E149" s="52">
        <f t="shared" si="15"/>
        <v>90</v>
      </c>
      <c r="F149" s="52">
        <f t="shared" si="15"/>
        <v>150</v>
      </c>
      <c r="G149" s="54">
        <f t="shared" si="15"/>
        <v>438</v>
      </c>
      <c r="H149" s="85">
        <f t="shared" si="15"/>
        <v>0</v>
      </c>
      <c r="I149" s="52">
        <f t="shared" si="15"/>
        <v>7</v>
      </c>
      <c r="J149" s="52">
        <f t="shared" si="15"/>
        <v>77</v>
      </c>
      <c r="K149" s="52">
        <f t="shared" si="15"/>
        <v>226</v>
      </c>
      <c r="L149" s="86">
        <f t="shared" si="15"/>
        <v>128</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83" t="s">
        <v>388</v>
      </c>
      <c r="C166" s="230">
        <f>SUM(C167:C169)</f>
        <v>0</v>
      </c>
      <c r="D166" s="230">
        <f t="shared" ref="D166:I166" si="16">SUM(D167:D169)</f>
        <v>0</v>
      </c>
      <c r="E166" s="230">
        <f t="shared" si="16"/>
        <v>0</v>
      </c>
      <c r="F166" s="230">
        <f t="shared" si="16"/>
        <v>0</v>
      </c>
      <c r="G166" s="372">
        <f t="shared" si="16"/>
        <v>181682.64</v>
      </c>
      <c r="H166" s="230">
        <f t="shared" si="16"/>
        <v>0</v>
      </c>
      <c r="I166" s="231">
        <f t="shared" si="16"/>
        <v>0</v>
      </c>
    </row>
    <row r="167" spans="1:9" ht="15.75" x14ac:dyDescent="0.25">
      <c r="A167" s="232" t="s">
        <v>111</v>
      </c>
      <c r="B167" s="584"/>
      <c r="C167" s="78"/>
      <c r="D167" s="78"/>
      <c r="E167" s="78"/>
      <c r="F167" s="82"/>
      <c r="G167" s="289">
        <f>11440.74+25322.2+26541.31+37611.32+79767.07</f>
        <v>180682.64</v>
      </c>
      <c r="H167" s="78"/>
      <c r="I167" s="233"/>
    </row>
    <row r="168" spans="1:9" ht="15.75" x14ac:dyDescent="0.25">
      <c r="A168" s="232" t="s">
        <v>112</v>
      </c>
      <c r="B168" s="584"/>
      <c r="C168" s="78"/>
      <c r="D168" s="78"/>
      <c r="E168" s="78"/>
      <c r="F168" s="82"/>
      <c r="G168" s="289">
        <v>1000</v>
      </c>
      <c r="H168" s="78"/>
      <c r="I168" s="233"/>
    </row>
    <row r="169" spans="1:9" ht="15.75" x14ac:dyDescent="0.25">
      <c r="A169" s="232" t="s">
        <v>113</v>
      </c>
      <c r="B169" s="584"/>
      <c r="C169" s="78"/>
      <c r="D169" s="78"/>
      <c r="E169" s="78"/>
      <c r="F169" s="82"/>
      <c r="G169" s="289">
        <v>0</v>
      </c>
      <c r="H169" s="78"/>
      <c r="I169" s="233"/>
    </row>
    <row r="170" spans="1:9" ht="31.5" x14ac:dyDescent="0.25">
      <c r="A170" s="234" t="s">
        <v>114</v>
      </c>
      <c r="B170" s="584"/>
      <c r="C170" s="78"/>
      <c r="D170" s="78"/>
      <c r="E170" s="78"/>
      <c r="F170" s="82"/>
      <c r="G170" s="412">
        <v>156116.78</v>
      </c>
      <c r="H170" s="78"/>
      <c r="I170" s="233"/>
    </row>
    <row r="171" spans="1:9" ht="409.5" customHeight="1" x14ac:dyDescent="0.25">
      <c r="A171" s="658" t="s">
        <v>115</v>
      </c>
      <c r="B171" s="584"/>
      <c r="C171" s="649">
        <f t="shared" ref="C171:I171" si="17">C166+C170</f>
        <v>0</v>
      </c>
      <c r="D171" s="649">
        <f t="shared" si="17"/>
        <v>0</v>
      </c>
      <c r="E171" s="649">
        <f t="shared" si="17"/>
        <v>0</v>
      </c>
      <c r="F171" s="649">
        <f t="shared" si="17"/>
        <v>0</v>
      </c>
      <c r="G171" s="652">
        <f t="shared" si="17"/>
        <v>337799.42000000004</v>
      </c>
      <c r="H171" s="649">
        <f t="shared" si="17"/>
        <v>0</v>
      </c>
      <c r="I171" s="655">
        <f t="shared" si="17"/>
        <v>0</v>
      </c>
    </row>
    <row r="172" spans="1:9" ht="409.6" customHeight="1" x14ac:dyDescent="0.25">
      <c r="A172" s="658"/>
      <c r="B172" s="584"/>
      <c r="C172" s="650"/>
      <c r="D172" s="650"/>
      <c r="E172" s="650"/>
      <c r="F172" s="650"/>
      <c r="G172" s="653"/>
      <c r="H172" s="650"/>
      <c r="I172" s="656"/>
    </row>
    <row r="173" spans="1:9" ht="409.5" customHeight="1" thickBot="1" x14ac:dyDescent="0.3">
      <c r="A173" s="659"/>
      <c r="B173" s="585"/>
      <c r="C173" s="651"/>
      <c r="D173" s="651"/>
      <c r="E173" s="651"/>
      <c r="F173" s="651"/>
      <c r="G173" s="654"/>
      <c r="H173" s="651"/>
      <c r="I173" s="657"/>
    </row>
  </sheetData>
  <mergeCells count="58">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A63:B70"/>
    <mergeCell ref="D72:D73"/>
    <mergeCell ref="A74:B81"/>
    <mergeCell ref="A83:A84"/>
    <mergeCell ref="B83:B84"/>
    <mergeCell ref="C83:C84"/>
    <mergeCell ref="D83:D84"/>
    <mergeCell ref="A72:A73"/>
    <mergeCell ref="B72:B73"/>
    <mergeCell ref="C72:C73"/>
    <mergeCell ref="B34:B35"/>
    <mergeCell ref="C34:C35"/>
    <mergeCell ref="A50:B57"/>
    <mergeCell ref="A61:A62"/>
    <mergeCell ref="B61:B62"/>
    <mergeCell ref="C61:C62"/>
    <mergeCell ref="A171:A173"/>
    <mergeCell ref="C171:C173"/>
    <mergeCell ref="D171:D173"/>
    <mergeCell ref="E171:E173"/>
    <mergeCell ref="B10:B11"/>
    <mergeCell ref="C10:C11"/>
    <mergeCell ref="A12:B19"/>
    <mergeCell ref="C21:C22"/>
    <mergeCell ref="A23:B30"/>
    <mergeCell ref="D34:D35"/>
    <mergeCell ref="A36:B43"/>
    <mergeCell ref="A48:A49"/>
    <mergeCell ref="B48:B49"/>
    <mergeCell ref="C48:C49"/>
    <mergeCell ref="D48:D49"/>
    <mergeCell ref="A34:A35"/>
    <mergeCell ref="F171:F173"/>
    <mergeCell ref="G171:G173"/>
    <mergeCell ref="H171:H173"/>
    <mergeCell ref="I171:I173"/>
    <mergeCell ref="B166:B17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5"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259</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260</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17</v>
      </c>
      <c r="E16" s="34"/>
      <c r="F16" s="34"/>
      <c r="G16" s="35"/>
      <c r="H16" s="36">
        <f t="shared" si="0"/>
        <v>17</v>
      </c>
      <c r="I16" s="37">
        <v>17</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17</v>
      </c>
      <c r="E19" s="52">
        <f>SUM(E12:E18)</f>
        <v>0</v>
      </c>
      <c r="F19" s="52">
        <f>SUM(F12:F18)</f>
        <v>0</v>
      </c>
      <c r="G19" s="53"/>
      <c r="H19" s="54">
        <f>SUM(D19:F19)</f>
        <v>17</v>
      </c>
      <c r="I19" s="85">
        <f>SUM(I12:I18)</f>
        <v>17</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80" t="s">
        <v>23</v>
      </c>
      <c r="C22" s="533"/>
      <c r="D22" s="62" t="s">
        <v>10</v>
      </c>
      <c r="E22" s="63" t="s">
        <v>11</v>
      </c>
      <c r="F22" s="63" t="s">
        <v>12</v>
      </c>
      <c r="G22" s="64" t="s">
        <v>13</v>
      </c>
      <c r="H22" s="25" t="s">
        <v>14</v>
      </c>
    </row>
    <row r="23" spans="1:17" ht="15" customHeight="1" x14ac:dyDescent="0.25">
      <c r="A23" s="534" t="s">
        <v>261</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12663</v>
      </c>
      <c r="E27" s="34"/>
      <c r="F27" s="34"/>
      <c r="G27" s="35"/>
      <c r="H27" s="36">
        <f t="shared" si="1"/>
        <v>12663</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12663</v>
      </c>
      <c r="E30" s="52">
        <f>SUM(E23:E29)</f>
        <v>0</v>
      </c>
      <c r="F30" s="52">
        <f>SUM(F23:F29)</f>
        <v>0</v>
      </c>
      <c r="G30" s="52">
        <f>SUM(G23:G29)</f>
        <v>0</v>
      </c>
      <c r="H30" s="54">
        <f t="shared" ref="H30" si="2">SUM(D30:F30)</f>
        <v>12663</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262</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3</v>
      </c>
      <c r="E40" s="37">
        <v>3</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3</v>
      </c>
      <c r="E43" s="85">
        <f t="shared" ref="E43:J43" si="3">SUM(E36:E42)</f>
        <v>3</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40"/>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40"/>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413"/>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263</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60</v>
      </c>
      <c r="E78" s="122">
        <v>60</v>
      </c>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60</v>
      </c>
      <c r="E81" s="128">
        <f t="shared" si="6"/>
        <v>60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81" t="s">
        <v>6</v>
      </c>
      <c r="D94" s="139" t="s">
        <v>51</v>
      </c>
      <c r="E94" s="140"/>
      <c r="F94" s="140"/>
      <c r="G94" s="141"/>
      <c r="H94" s="11"/>
      <c r="I94" s="11"/>
      <c r="J94" s="11"/>
      <c r="K94" s="11"/>
      <c r="O94" s="9"/>
      <c r="P94" s="9"/>
    </row>
    <row r="95" spans="1:17" s="9" customFormat="1" ht="64.5" x14ac:dyDescent="0.25">
      <c r="A95" s="559"/>
      <c r="B95" s="561"/>
      <c r="C95" s="482"/>
      <c r="D95" s="115" t="s">
        <v>52</v>
      </c>
      <c r="E95" s="116" t="s">
        <v>53</v>
      </c>
      <c r="F95" s="116" t="s">
        <v>54</v>
      </c>
      <c r="G95" s="143" t="s">
        <v>14</v>
      </c>
      <c r="H95" s="11"/>
      <c r="I95" s="11"/>
      <c r="J95" s="11"/>
      <c r="K95" s="11"/>
      <c r="L95" s="11"/>
      <c r="M95" s="11"/>
      <c r="N95" s="11"/>
    </row>
    <row r="96" spans="1:17" s="11" customFormat="1" ht="26.25" customHeight="1" x14ac:dyDescent="0.25">
      <c r="A96" s="534"/>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v>372</v>
      </c>
      <c r="F99" s="34"/>
      <c r="G99" s="144">
        <f t="shared" si="8"/>
        <v>372</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372</v>
      </c>
      <c r="F102" s="52">
        <f>SUM(F95:F101)</f>
        <v>0</v>
      </c>
      <c r="G102" s="145">
        <f>SUM(G95:G101)</f>
        <v>372</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83" t="s">
        <v>38</v>
      </c>
      <c r="C117" s="182" t="s">
        <v>6</v>
      </c>
      <c r="D117" s="183" t="s">
        <v>68</v>
      </c>
      <c r="E117" s="184" t="s">
        <v>69</v>
      </c>
      <c r="F117" s="184" t="s">
        <v>70</v>
      </c>
      <c r="G117" s="184" t="s">
        <v>71</v>
      </c>
      <c r="H117" s="184" t="s">
        <v>72</v>
      </c>
      <c r="I117" s="185" t="s">
        <v>73</v>
      </c>
      <c r="J117" s="186" t="s">
        <v>74</v>
      </c>
      <c r="K117" s="186" t="s">
        <v>75</v>
      </c>
    </row>
    <row r="118" spans="1:19" x14ac:dyDescent="0.25">
      <c r="A118" s="534"/>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264</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7</v>
      </c>
      <c r="E135" s="34">
        <v>2</v>
      </c>
      <c r="F135" s="34">
        <v>7</v>
      </c>
      <c r="G135" s="203">
        <f>SUM(D135:F135)</f>
        <v>16</v>
      </c>
      <c r="H135" s="101">
        <v>20</v>
      </c>
      <c r="I135" s="37">
        <v>16</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7</v>
      </c>
      <c r="E138" s="52">
        <f>SUM(E131:E137)</f>
        <v>2</v>
      </c>
      <c r="F138" s="52">
        <f>SUM(F131:F137)</f>
        <v>7</v>
      </c>
      <c r="G138" s="205">
        <f t="shared" ref="G138:O138" si="13">SUM(G131:G137)</f>
        <v>16</v>
      </c>
      <c r="H138" s="206">
        <f t="shared" si="13"/>
        <v>20</v>
      </c>
      <c r="I138" s="85">
        <f t="shared" si="13"/>
        <v>16</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265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175</v>
      </c>
      <c r="E146" s="34">
        <v>160</v>
      </c>
      <c r="F146" s="34">
        <v>328</v>
      </c>
      <c r="G146" s="214">
        <f t="shared" si="14"/>
        <v>663</v>
      </c>
      <c r="H146" s="37"/>
      <c r="I146" s="34">
        <v>11</v>
      </c>
      <c r="J146" s="34">
        <v>147</v>
      </c>
      <c r="K146" s="34">
        <v>505</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175</v>
      </c>
      <c r="E149" s="52">
        <f t="shared" si="15"/>
        <v>160</v>
      </c>
      <c r="F149" s="52">
        <f t="shared" si="15"/>
        <v>328</v>
      </c>
      <c r="G149" s="54">
        <f t="shared" si="15"/>
        <v>663</v>
      </c>
      <c r="H149" s="85">
        <f t="shared" si="15"/>
        <v>0</v>
      </c>
      <c r="I149" s="52">
        <f t="shared" si="15"/>
        <v>11</v>
      </c>
      <c r="J149" s="52">
        <f t="shared" si="15"/>
        <v>147</v>
      </c>
      <c r="K149" s="52">
        <f t="shared" si="15"/>
        <v>505</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02" t="s">
        <v>266</v>
      </c>
      <c r="C166" s="230">
        <f>SUM(C167:C169)</f>
        <v>0</v>
      </c>
      <c r="D166" s="230">
        <f t="shared" ref="D166:I166" si="16">SUM(D167:D169)</f>
        <v>0</v>
      </c>
      <c r="E166" s="230">
        <f t="shared" si="16"/>
        <v>0</v>
      </c>
      <c r="F166" s="230">
        <f t="shared" si="16"/>
        <v>0</v>
      </c>
      <c r="G166" s="230">
        <v>112357.12</v>
      </c>
      <c r="H166" s="230">
        <f t="shared" si="16"/>
        <v>0</v>
      </c>
      <c r="I166" s="231">
        <f t="shared" si="16"/>
        <v>0</v>
      </c>
    </row>
    <row r="167" spans="1:9" ht="15.75" x14ac:dyDescent="0.25">
      <c r="A167" s="232" t="s">
        <v>111</v>
      </c>
      <c r="B167" s="603"/>
      <c r="C167" s="78"/>
      <c r="D167" s="78"/>
      <c r="E167" s="78"/>
      <c r="F167" s="82"/>
      <c r="G167" s="78">
        <v>112357.12</v>
      </c>
      <c r="H167" s="78"/>
      <c r="I167" s="233"/>
    </row>
    <row r="168" spans="1:9" ht="15.75" x14ac:dyDescent="0.25">
      <c r="A168" s="232" t="s">
        <v>112</v>
      </c>
      <c r="B168" s="603"/>
      <c r="C168" s="78"/>
      <c r="D168" s="78"/>
      <c r="E168" s="78"/>
      <c r="F168" s="82"/>
      <c r="G168" s="78"/>
      <c r="H168" s="78"/>
      <c r="I168" s="233"/>
    </row>
    <row r="169" spans="1:9" ht="15.75" x14ac:dyDescent="0.25">
      <c r="A169" s="232" t="s">
        <v>113</v>
      </c>
      <c r="B169" s="603"/>
      <c r="C169" s="78"/>
      <c r="D169" s="78"/>
      <c r="E169" s="78"/>
      <c r="F169" s="82"/>
      <c r="G169" s="78"/>
      <c r="H169" s="78"/>
      <c r="I169" s="233"/>
    </row>
    <row r="170" spans="1:9" ht="31.5" x14ac:dyDescent="0.25">
      <c r="A170" s="234" t="s">
        <v>114</v>
      </c>
      <c r="B170" s="603"/>
      <c r="C170" s="78"/>
      <c r="D170" s="78"/>
      <c r="E170" s="78"/>
      <c r="F170" s="82"/>
      <c r="G170" s="78">
        <v>49057.78</v>
      </c>
      <c r="H170" s="78"/>
      <c r="I170" s="233"/>
    </row>
    <row r="171" spans="1:9" ht="16.5" thickBot="1" x14ac:dyDescent="0.3">
      <c r="A171" s="235" t="s">
        <v>115</v>
      </c>
      <c r="B171" s="604"/>
      <c r="C171" s="236">
        <f t="shared" ref="C171:I171" si="17">C166+C170</f>
        <v>0</v>
      </c>
      <c r="D171" s="236">
        <f t="shared" si="17"/>
        <v>0</v>
      </c>
      <c r="E171" s="236">
        <f t="shared" si="17"/>
        <v>0</v>
      </c>
      <c r="F171" s="236">
        <f t="shared" si="17"/>
        <v>0</v>
      </c>
      <c r="G171" s="414">
        <f t="shared" si="17"/>
        <v>161414.9</v>
      </c>
      <c r="H171" s="236">
        <f t="shared" si="17"/>
        <v>0</v>
      </c>
      <c r="I171" s="86">
        <f t="shared" si="17"/>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5"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267</v>
      </c>
    </row>
    <row r="5" spans="1:17" s="2" customFormat="1" ht="15.75" x14ac:dyDescent="0.25">
      <c r="A5" s="239" t="s">
        <v>268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269</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12</v>
      </c>
      <c r="E16" s="34"/>
      <c r="F16" s="34"/>
      <c r="G16" s="35"/>
      <c r="H16" s="36">
        <f t="shared" si="0"/>
        <v>12</v>
      </c>
      <c r="I16" s="37">
        <v>12</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12</v>
      </c>
      <c r="E19" s="52">
        <f>SUM(E12:E18)</f>
        <v>0</v>
      </c>
      <c r="F19" s="52">
        <f>SUM(F12:F18)</f>
        <v>0</v>
      </c>
      <c r="G19" s="53"/>
      <c r="H19" s="54">
        <f>SUM(D19:F19)</f>
        <v>12</v>
      </c>
      <c r="I19" s="85">
        <f>SUM(I12:I18)</f>
        <v>12</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270</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f>35*4+3*30+80+3*35+6*20+50+350</f>
        <v>935</v>
      </c>
      <c r="E27" s="34"/>
      <c r="F27" s="34"/>
      <c r="G27" s="35"/>
      <c r="H27" s="36">
        <f t="shared" si="1"/>
        <v>935</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51" customHeight="1" thickBot="1" x14ac:dyDescent="0.3">
      <c r="A30" s="536"/>
      <c r="B30" s="537"/>
      <c r="C30" s="50" t="s">
        <v>14</v>
      </c>
      <c r="D30" s="51">
        <f>SUM(D23:D29)</f>
        <v>935</v>
      </c>
      <c r="E30" s="52">
        <f>SUM(E23:E29)</f>
        <v>0</v>
      </c>
      <c r="F30" s="52">
        <f>SUM(F23:F29)</f>
        <v>0</v>
      </c>
      <c r="G30" s="52">
        <f>SUM(G23:G29)</f>
        <v>0</v>
      </c>
      <c r="H30" s="54">
        <f t="shared" ref="H30" si="2">SUM(D30:F30)</f>
        <v>935</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271</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1</v>
      </c>
      <c r="E40" s="37">
        <v>1</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1</v>
      </c>
      <c r="E43" s="85">
        <f t="shared" ref="E43:J43" si="3">SUM(E36:E42)</f>
        <v>1</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272</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c r="E135" s="34">
        <v>3</v>
      </c>
      <c r="F135" s="34">
        <v>7</v>
      </c>
      <c r="G135" s="203">
        <f>SUM(D135:F135)</f>
        <v>10</v>
      </c>
      <c r="H135" s="101">
        <f>4+3+1+3+6+1</f>
        <v>18</v>
      </c>
      <c r="I135" s="37">
        <v>10</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39.75" customHeight="1" thickBot="1" x14ac:dyDescent="0.3">
      <c r="A138" s="591"/>
      <c r="B138" s="592"/>
      <c r="C138" s="50" t="s">
        <v>14</v>
      </c>
      <c r="D138" s="51">
        <f>SUM(D131:D137)</f>
        <v>0</v>
      </c>
      <c r="E138" s="52">
        <f>SUM(E131:E137)</f>
        <v>3</v>
      </c>
      <c r="F138" s="52">
        <f>SUM(F131:F137)</f>
        <v>7</v>
      </c>
      <c r="G138" s="205">
        <f t="shared" ref="G138:O138" si="13">SUM(G131:G137)</f>
        <v>10</v>
      </c>
      <c r="H138" s="206">
        <f t="shared" si="13"/>
        <v>18</v>
      </c>
      <c r="I138" s="85">
        <f t="shared" si="13"/>
        <v>10</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273</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c r="E146" s="34">
        <v>335</v>
      </c>
      <c r="F146" s="34">
        <v>250</v>
      </c>
      <c r="G146" s="214">
        <f t="shared" si="14"/>
        <v>585</v>
      </c>
      <c r="H146" s="37"/>
      <c r="I146" s="34">
        <v>18</v>
      </c>
      <c r="J146" s="34">
        <v>178</v>
      </c>
      <c r="K146" s="34">
        <f>339+50</f>
        <v>389</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60.75" customHeight="1" thickBot="1" x14ac:dyDescent="0.3">
      <c r="A149" s="536"/>
      <c r="B149" s="537"/>
      <c r="C149" s="50" t="s">
        <v>14</v>
      </c>
      <c r="D149" s="51">
        <f t="shared" ref="D149:L149" si="15">SUM(D142:D148)</f>
        <v>0</v>
      </c>
      <c r="E149" s="52">
        <f t="shared" si="15"/>
        <v>335</v>
      </c>
      <c r="F149" s="52">
        <f t="shared" si="15"/>
        <v>250</v>
      </c>
      <c r="G149" s="54">
        <f t="shared" si="15"/>
        <v>585</v>
      </c>
      <c r="H149" s="85">
        <f t="shared" si="15"/>
        <v>0</v>
      </c>
      <c r="I149" s="52">
        <f t="shared" si="15"/>
        <v>18</v>
      </c>
      <c r="J149" s="52">
        <f t="shared" si="15"/>
        <v>178</v>
      </c>
      <c r="K149" s="52">
        <f t="shared" si="15"/>
        <v>389</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83" t="s">
        <v>274</v>
      </c>
      <c r="C166" s="230">
        <f>SUM(C167:C169)</f>
        <v>0</v>
      </c>
      <c r="D166" s="230">
        <f t="shared" ref="D166:I166" si="16">SUM(D167:D169)</f>
        <v>0</v>
      </c>
      <c r="E166" s="230">
        <f t="shared" si="16"/>
        <v>0</v>
      </c>
      <c r="F166" s="230">
        <f t="shared" si="16"/>
        <v>0</v>
      </c>
      <c r="G166" s="230">
        <f>SUM(G167:G169)</f>
        <v>204871.59</v>
      </c>
      <c r="H166" s="230">
        <f t="shared" si="16"/>
        <v>0</v>
      </c>
      <c r="I166" s="231">
        <f t="shared" si="16"/>
        <v>0</v>
      </c>
    </row>
    <row r="167" spans="1:9" ht="15.75" x14ac:dyDescent="0.25">
      <c r="A167" s="232" t="s">
        <v>111</v>
      </c>
      <c r="B167" s="584"/>
      <c r="C167" s="78"/>
      <c r="D167" s="78"/>
      <c r="E167" s="78"/>
      <c r="F167" s="82"/>
      <c r="G167" s="78">
        <v>203631.59</v>
      </c>
      <c r="H167" s="78"/>
      <c r="I167" s="233"/>
    </row>
    <row r="168" spans="1:9" ht="15.75" x14ac:dyDescent="0.25">
      <c r="A168" s="232" t="s">
        <v>112</v>
      </c>
      <c r="B168" s="584"/>
      <c r="C168" s="78"/>
      <c r="D168" s="78"/>
      <c r="E168" s="78"/>
      <c r="F168" s="82"/>
      <c r="G168" s="78">
        <v>1240</v>
      </c>
      <c r="H168" s="78"/>
      <c r="I168" s="233"/>
    </row>
    <row r="169" spans="1:9" ht="15.75" x14ac:dyDescent="0.25">
      <c r="A169" s="232" t="s">
        <v>113</v>
      </c>
      <c r="B169" s="584"/>
      <c r="C169" s="78"/>
      <c r="D169" s="78"/>
      <c r="E169" s="78"/>
      <c r="F169" s="82"/>
      <c r="G169" s="78">
        <v>0</v>
      </c>
      <c r="H169" s="78"/>
      <c r="I169" s="233"/>
    </row>
    <row r="170" spans="1:9" ht="31.5" x14ac:dyDescent="0.25">
      <c r="A170" s="234" t="s">
        <v>114</v>
      </c>
      <c r="B170" s="584"/>
      <c r="C170" s="78"/>
      <c r="D170" s="78"/>
      <c r="E170" s="78"/>
      <c r="F170" s="82"/>
      <c r="G170" s="78">
        <v>94015.13</v>
      </c>
      <c r="H170" s="78"/>
      <c r="I170" s="233"/>
    </row>
    <row r="171" spans="1:9" ht="16.5" thickBot="1" x14ac:dyDescent="0.3">
      <c r="A171" s="235" t="s">
        <v>115</v>
      </c>
      <c r="B171" s="585"/>
      <c r="C171" s="236">
        <f t="shared" ref="C171:I171" si="17">C166+C170</f>
        <v>0</v>
      </c>
      <c r="D171" s="236">
        <f t="shared" si="17"/>
        <v>0</v>
      </c>
      <c r="E171" s="236">
        <f t="shared" si="17"/>
        <v>0</v>
      </c>
      <c r="F171" s="236">
        <f t="shared" si="17"/>
        <v>0</v>
      </c>
      <c r="G171" s="236">
        <f t="shared" si="17"/>
        <v>298886.71999999997</v>
      </c>
      <c r="H171" s="236">
        <f t="shared" si="17"/>
        <v>0</v>
      </c>
      <c r="I171" s="86">
        <f t="shared" si="17"/>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5"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275</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276</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13</v>
      </c>
      <c r="E16" s="34"/>
      <c r="F16" s="34"/>
      <c r="G16" s="35"/>
      <c r="H16" s="36">
        <f t="shared" si="0"/>
        <v>13</v>
      </c>
      <c r="I16" s="37">
        <v>13</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13</v>
      </c>
      <c r="E19" s="52">
        <f>SUM(E12:E18)</f>
        <v>0</v>
      </c>
      <c r="F19" s="52">
        <f>SUM(F12:F18)</f>
        <v>0</v>
      </c>
      <c r="G19" s="53"/>
      <c r="H19" s="54">
        <f>SUM(D19:F19)</f>
        <v>13</v>
      </c>
      <c r="I19" s="85">
        <f>SUM(I12:I18)</f>
        <v>13</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277</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581</v>
      </c>
      <c r="E27" s="34"/>
      <c r="F27" s="34"/>
      <c r="G27" s="35"/>
      <c r="H27" s="36">
        <f t="shared" si="1"/>
        <v>581</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99.75" customHeight="1" thickBot="1" x14ac:dyDescent="0.3">
      <c r="A30" s="536"/>
      <c r="B30" s="537"/>
      <c r="C30" s="50" t="s">
        <v>14</v>
      </c>
      <c r="D30" s="51">
        <f>SUM(D23:D29)</f>
        <v>581</v>
      </c>
      <c r="E30" s="52">
        <f>SUM(E23:E29)</f>
        <v>0</v>
      </c>
      <c r="F30" s="52">
        <f>SUM(F23:F29)</f>
        <v>0</v>
      </c>
      <c r="G30" s="52">
        <f>SUM(G23:G29)</f>
        <v>0</v>
      </c>
      <c r="H30" s="54">
        <f t="shared" ref="H30" si="2">SUM(D30:F30)</f>
        <v>581</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0</v>
      </c>
      <c r="E40" s="37">
        <v>0</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0</v>
      </c>
      <c r="E43" s="85">
        <f t="shared" ref="E43:J43" si="3">SUM(E36:E42)</f>
        <v>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0</v>
      </c>
      <c r="E54" s="37">
        <v>0</v>
      </c>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0</v>
      </c>
      <c r="E67" s="34">
        <v>0</v>
      </c>
      <c r="F67" s="122">
        <v>0</v>
      </c>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0</v>
      </c>
      <c r="E78" s="122">
        <v>0</v>
      </c>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v>0</v>
      </c>
      <c r="E89" s="122">
        <v>0</v>
      </c>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0</v>
      </c>
      <c r="E99" s="34">
        <v>0</v>
      </c>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v>0</v>
      </c>
      <c r="E112" s="123">
        <v>0</v>
      </c>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t="s">
        <v>278</v>
      </c>
      <c r="E122" s="123"/>
      <c r="F122" s="123"/>
      <c r="G122" s="123"/>
      <c r="H122" s="123"/>
      <c r="I122" s="124"/>
      <c r="J122" s="187" t="e">
        <f t="shared" si="11"/>
        <v>#VALUE!</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t="e">
        <f>SUM(J118:J124)</f>
        <v>#VALUE!</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279</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5</v>
      </c>
      <c r="E135" s="34">
        <v>3</v>
      </c>
      <c r="F135" s="34">
        <v>3</v>
      </c>
      <c r="G135" s="203">
        <f>SUM(D135:F135:E135)</f>
        <v>11</v>
      </c>
      <c r="H135" s="101">
        <v>20</v>
      </c>
      <c r="I135" s="37">
        <v>11</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02.75" customHeight="1" thickBot="1" x14ac:dyDescent="0.3">
      <c r="A138" s="591"/>
      <c r="B138" s="592"/>
      <c r="C138" s="50" t="s">
        <v>14</v>
      </c>
      <c r="D138" s="51">
        <f>SUM(D131:D137)</f>
        <v>5</v>
      </c>
      <c r="E138" s="52">
        <f>SUM(E131:E137)</f>
        <v>3</v>
      </c>
      <c r="F138" s="52">
        <f>SUM(F131:F137)</f>
        <v>3</v>
      </c>
      <c r="G138" s="205">
        <f t="shared" ref="G138:O138" si="13">SUM(G131:G137)</f>
        <v>11</v>
      </c>
      <c r="H138" s="206">
        <f t="shared" si="13"/>
        <v>20</v>
      </c>
      <c r="I138" s="85">
        <f t="shared" si="13"/>
        <v>11</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280</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260</v>
      </c>
      <c r="E146" s="34">
        <v>105</v>
      </c>
      <c r="F146" s="34">
        <v>226</v>
      </c>
      <c r="G146" s="214">
        <f t="shared" si="14"/>
        <v>591</v>
      </c>
      <c r="H146" s="37"/>
      <c r="I146" s="34"/>
      <c r="J146" s="34">
        <v>155</v>
      </c>
      <c r="K146" s="34"/>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07.25" customHeight="1" thickBot="1" x14ac:dyDescent="0.3">
      <c r="A149" s="536"/>
      <c r="B149" s="537"/>
      <c r="C149" s="50" t="s">
        <v>14</v>
      </c>
      <c r="D149" s="51">
        <f t="shared" ref="D149:L149" si="15">SUM(D142:D148)</f>
        <v>260</v>
      </c>
      <c r="E149" s="52">
        <f t="shared" si="15"/>
        <v>105</v>
      </c>
      <c r="F149" s="52">
        <f t="shared" si="15"/>
        <v>226</v>
      </c>
      <c r="G149" s="54">
        <f t="shared" si="15"/>
        <v>591</v>
      </c>
      <c r="H149" s="85">
        <f t="shared" si="15"/>
        <v>0</v>
      </c>
      <c r="I149" s="52">
        <f t="shared" si="15"/>
        <v>0</v>
      </c>
      <c r="J149" s="52">
        <f t="shared" si="15"/>
        <v>155</v>
      </c>
      <c r="K149" s="52">
        <f t="shared" si="15"/>
        <v>0</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33" customHeight="1" x14ac:dyDescent="0.25">
      <c r="A166" s="229" t="s">
        <v>109</v>
      </c>
      <c r="B166" s="660" t="s">
        <v>281</v>
      </c>
      <c r="C166" s="230">
        <f>SUM(C167:C169)</f>
        <v>0</v>
      </c>
      <c r="D166" s="230">
        <f t="shared" ref="D166:I166" si="16">SUM(D167:D169)</f>
        <v>0</v>
      </c>
      <c r="E166" s="230">
        <f t="shared" si="16"/>
        <v>0</v>
      </c>
      <c r="F166" s="230">
        <f t="shared" si="16"/>
        <v>0</v>
      </c>
      <c r="G166" s="230">
        <f>SUM(G167:G169)</f>
        <v>164959.26999999999</v>
      </c>
      <c r="H166" s="230">
        <f t="shared" si="16"/>
        <v>0</v>
      </c>
      <c r="I166" s="231">
        <f t="shared" si="16"/>
        <v>0</v>
      </c>
    </row>
    <row r="167" spans="1:9" ht="15.75" x14ac:dyDescent="0.25">
      <c r="A167" s="232" t="s">
        <v>111</v>
      </c>
      <c r="B167" s="661"/>
      <c r="C167" s="78"/>
      <c r="D167" s="78"/>
      <c r="E167" s="78"/>
      <c r="F167" s="82"/>
      <c r="G167" s="78">
        <v>164959.26999999999</v>
      </c>
      <c r="H167" s="78"/>
      <c r="I167" s="233"/>
    </row>
    <row r="168" spans="1:9" ht="15.75" x14ac:dyDescent="0.25">
      <c r="A168" s="232" t="s">
        <v>112</v>
      </c>
      <c r="B168" s="661"/>
      <c r="C168" s="78"/>
      <c r="D168" s="78"/>
      <c r="E168" s="78"/>
      <c r="F168" s="82"/>
      <c r="G168" s="78">
        <v>0</v>
      </c>
      <c r="H168" s="78"/>
      <c r="I168" s="233"/>
    </row>
    <row r="169" spans="1:9" ht="15.75" x14ac:dyDescent="0.25">
      <c r="A169" s="232" t="s">
        <v>113</v>
      </c>
      <c r="B169" s="661"/>
      <c r="C169" s="78"/>
      <c r="D169" s="78"/>
      <c r="E169" s="78"/>
      <c r="F169" s="82"/>
      <c r="G169" s="78">
        <v>0</v>
      </c>
      <c r="H169" s="78"/>
      <c r="I169" s="233"/>
    </row>
    <row r="170" spans="1:9" ht="31.5" x14ac:dyDescent="0.25">
      <c r="A170" s="234" t="s">
        <v>114</v>
      </c>
      <c r="B170" s="661"/>
      <c r="C170" s="78"/>
      <c r="D170" s="78"/>
      <c r="E170" s="78"/>
      <c r="F170" s="82"/>
      <c r="G170" s="78">
        <v>87494.720000000001</v>
      </c>
      <c r="H170" s="78"/>
      <c r="I170" s="233"/>
    </row>
    <row r="171" spans="1:9" ht="393" customHeight="1" thickBot="1" x14ac:dyDescent="0.3">
      <c r="A171" s="235" t="s">
        <v>115</v>
      </c>
      <c r="B171" s="662"/>
      <c r="C171" s="236">
        <f t="shared" ref="C171:I171" si="17">C166+C170</f>
        <v>0</v>
      </c>
      <c r="D171" s="236">
        <f t="shared" si="17"/>
        <v>0</v>
      </c>
      <c r="E171" s="236">
        <f t="shared" si="17"/>
        <v>0</v>
      </c>
      <c r="F171" s="236">
        <f t="shared" si="17"/>
        <v>0</v>
      </c>
      <c r="G171" s="236">
        <f t="shared" si="17"/>
        <v>252453.99</v>
      </c>
      <c r="H171" s="236">
        <f t="shared" si="17"/>
        <v>0</v>
      </c>
      <c r="I171" s="86">
        <f t="shared" si="17"/>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8" workbookViewId="0">
      <selection activeCell="D138" sqref="D138"/>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282</v>
      </c>
    </row>
    <row r="5" spans="1:17" s="2" customFormat="1" ht="15.75" x14ac:dyDescent="0.25">
      <c r="A5" s="239" t="s">
        <v>283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284</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7</v>
      </c>
      <c r="E16" s="34"/>
      <c r="F16" s="34"/>
      <c r="G16" s="35"/>
      <c r="H16" s="36">
        <f t="shared" si="0"/>
        <v>7</v>
      </c>
      <c r="I16" s="37">
        <v>7</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7</v>
      </c>
      <c r="E19" s="52">
        <f>SUM(E12:E18)</f>
        <v>0</v>
      </c>
      <c r="F19" s="52">
        <f>SUM(F12:F18)</f>
        <v>0</v>
      </c>
      <c r="G19" s="53"/>
      <c r="H19" s="54">
        <f>SUM(D19:F19)</f>
        <v>7</v>
      </c>
      <c r="I19" s="85">
        <f>SUM(I12:I18)</f>
        <v>7</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285</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f>30*3+50+30*3+40*2+30*2+50*2+30*2</f>
        <v>530</v>
      </c>
      <c r="E27" s="34"/>
      <c r="F27" s="34"/>
      <c r="G27" s="35"/>
      <c r="H27" s="36">
        <f t="shared" si="1"/>
        <v>530</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57" customHeight="1" thickBot="1" x14ac:dyDescent="0.3">
      <c r="A30" s="536"/>
      <c r="B30" s="537"/>
      <c r="C30" s="50" t="s">
        <v>14</v>
      </c>
      <c r="D30" s="51">
        <f>SUM(D23:D29)</f>
        <v>530</v>
      </c>
      <c r="E30" s="52">
        <f>SUM(E23:E29)</f>
        <v>0</v>
      </c>
      <c r="F30" s="52">
        <f>SUM(F23:F29)</f>
        <v>0</v>
      </c>
      <c r="G30" s="52">
        <f>SUM(G23:G29)</f>
        <v>0</v>
      </c>
      <c r="H30" s="54">
        <f t="shared" ref="H30" si="2">SUM(D30:F30)</f>
        <v>530</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286</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32</v>
      </c>
      <c r="E40" s="37">
        <v>32</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32</v>
      </c>
      <c r="E43" s="85">
        <f t="shared" ref="E43:J43" si="3">SUM(E36:E42)</f>
        <v>32</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0</v>
      </c>
      <c r="E67" s="34">
        <v>0</v>
      </c>
      <c r="F67" s="122">
        <v>0</v>
      </c>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24"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287</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13</v>
      </c>
      <c r="E78" s="122">
        <v>13</v>
      </c>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9.5" customHeight="1" thickBot="1" x14ac:dyDescent="0.3">
      <c r="A81" s="536"/>
      <c r="B81" s="537"/>
      <c r="C81" s="50" t="s">
        <v>14</v>
      </c>
      <c r="D81" s="52">
        <f t="shared" ref="D81:J81" si="6">SUM(D74:D80)</f>
        <v>13</v>
      </c>
      <c r="E81" s="128">
        <f t="shared" si="6"/>
        <v>13</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33.7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288</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0</v>
      </c>
      <c r="E99" s="34">
        <v>68</v>
      </c>
      <c r="F99" s="34"/>
      <c r="G99" s="144">
        <f t="shared" si="8"/>
        <v>68</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17" customHeight="1" thickBot="1" x14ac:dyDescent="0.3">
      <c r="A102" s="536"/>
      <c r="B102" s="537"/>
      <c r="C102" s="50" t="s">
        <v>14</v>
      </c>
      <c r="D102" s="51">
        <f>SUM(D95:D101)</f>
        <v>0</v>
      </c>
      <c r="E102" s="52">
        <f>SUM(E95:E101)</f>
        <v>68</v>
      </c>
      <c r="F102" s="52">
        <f>SUM(F95:F101)</f>
        <v>0</v>
      </c>
      <c r="G102" s="145">
        <f>SUM(G95:G101)</f>
        <v>68</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289</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7</v>
      </c>
      <c r="E135" s="34">
        <v>5</v>
      </c>
      <c r="F135" s="34">
        <v>2</v>
      </c>
      <c r="G135" s="203">
        <f t="shared" si="12"/>
        <v>12</v>
      </c>
      <c r="H135" s="101">
        <v>15</v>
      </c>
      <c r="I135" s="37">
        <v>15</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62.25" customHeight="1" thickBot="1" x14ac:dyDescent="0.3">
      <c r="A138" s="591"/>
      <c r="B138" s="592"/>
      <c r="C138" s="50" t="s">
        <v>14</v>
      </c>
      <c r="D138" s="51">
        <f>SUM(D131:D137)</f>
        <v>7</v>
      </c>
      <c r="E138" s="52">
        <f>SUM(E131:E137)</f>
        <v>5</v>
      </c>
      <c r="F138" s="52">
        <f>SUM(F131:F137)</f>
        <v>2</v>
      </c>
      <c r="G138" s="205">
        <f t="shared" ref="G138:O138" si="13">SUM(G131:G137)</f>
        <v>12</v>
      </c>
      <c r="H138" s="206">
        <f t="shared" si="13"/>
        <v>15</v>
      </c>
      <c r="I138" s="85">
        <f t="shared" si="13"/>
        <v>15</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290</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260</v>
      </c>
      <c r="E146" s="34">
        <f>30*3+30*3+40*2+30*2+30*2</f>
        <v>380</v>
      </c>
      <c r="F146" s="34">
        <f>50*2+50</f>
        <v>150</v>
      </c>
      <c r="G146" s="214">
        <f t="shared" si="14"/>
        <v>790</v>
      </c>
      <c r="H146" s="37"/>
      <c r="I146" s="34"/>
      <c r="J146" s="34"/>
      <c r="K146" s="34"/>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90" customHeight="1" thickBot="1" x14ac:dyDescent="0.3">
      <c r="A149" s="536"/>
      <c r="B149" s="537"/>
      <c r="C149" s="50" t="s">
        <v>14</v>
      </c>
      <c r="D149" s="51">
        <f t="shared" ref="D149:L149" si="15">SUM(D142:D148)</f>
        <v>260</v>
      </c>
      <c r="E149" s="52">
        <f t="shared" si="15"/>
        <v>380</v>
      </c>
      <c r="F149" s="52">
        <f t="shared" si="15"/>
        <v>150</v>
      </c>
      <c r="G149" s="54">
        <f t="shared" si="15"/>
        <v>790</v>
      </c>
      <c r="H149" s="85">
        <f t="shared" si="15"/>
        <v>0</v>
      </c>
      <c r="I149" s="52">
        <f t="shared" si="15"/>
        <v>0</v>
      </c>
      <c r="J149" s="52">
        <f t="shared" si="15"/>
        <v>0</v>
      </c>
      <c r="K149" s="52">
        <f t="shared" si="15"/>
        <v>0</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291</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v>40</v>
      </c>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36" customHeight="1" thickBot="1" x14ac:dyDescent="0.3">
      <c r="A162" s="542"/>
      <c r="B162" s="543"/>
      <c r="C162" s="50" t="s">
        <v>14</v>
      </c>
      <c r="D162" s="51">
        <f>SUM(D155:D160)</f>
        <v>40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02" t="s">
        <v>292</v>
      </c>
      <c r="C166" s="230">
        <f>SUM(C167:C169)</f>
        <v>0</v>
      </c>
      <c r="D166" s="230">
        <f t="shared" ref="D166:I166" si="16">SUM(D167:D169)</f>
        <v>0</v>
      </c>
      <c r="E166" s="230">
        <f t="shared" si="16"/>
        <v>0</v>
      </c>
      <c r="F166" s="230">
        <f t="shared" si="16"/>
        <v>0</v>
      </c>
      <c r="G166" s="230">
        <f t="shared" si="16"/>
        <v>157780</v>
      </c>
      <c r="H166" s="230">
        <f t="shared" si="16"/>
        <v>0</v>
      </c>
      <c r="I166" s="231">
        <f t="shared" si="16"/>
        <v>0</v>
      </c>
    </row>
    <row r="167" spans="1:9" ht="15.75" x14ac:dyDescent="0.25">
      <c r="A167" s="232" t="s">
        <v>111</v>
      </c>
      <c r="B167" s="603"/>
      <c r="C167" s="78"/>
      <c r="D167" s="78"/>
      <c r="E167" s="78"/>
      <c r="F167" s="82"/>
      <c r="G167" s="78">
        <f>19780+138000</f>
        <v>157780</v>
      </c>
      <c r="H167" s="78"/>
      <c r="I167" s="233"/>
    </row>
    <row r="168" spans="1:9" ht="15.75" x14ac:dyDescent="0.25">
      <c r="A168" s="232" t="s">
        <v>112</v>
      </c>
      <c r="B168" s="603"/>
      <c r="C168" s="78"/>
      <c r="D168" s="78"/>
      <c r="E168" s="78"/>
      <c r="F168" s="82"/>
      <c r="G168" s="78"/>
      <c r="H168" s="78"/>
      <c r="I168" s="233"/>
    </row>
    <row r="169" spans="1:9" ht="15.75" x14ac:dyDescent="0.25">
      <c r="A169" s="232" t="s">
        <v>113</v>
      </c>
      <c r="B169" s="603"/>
      <c r="C169" s="78"/>
      <c r="D169" s="78"/>
      <c r="E169" s="78"/>
      <c r="F169" s="82"/>
      <c r="G169" s="78"/>
      <c r="H169" s="78"/>
      <c r="I169" s="233"/>
    </row>
    <row r="170" spans="1:9" ht="31.5" x14ac:dyDescent="0.25">
      <c r="A170" s="234" t="s">
        <v>114</v>
      </c>
      <c r="B170" s="603"/>
      <c r="C170" s="78"/>
      <c r="D170" s="78"/>
      <c r="E170" s="78"/>
      <c r="F170" s="82"/>
      <c r="G170" s="78">
        <v>209589.94</v>
      </c>
      <c r="H170" s="78"/>
      <c r="I170" s="233"/>
    </row>
    <row r="171" spans="1:9" ht="16.5" thickBot="1" x14ac:dyDescent="0.3">
      <c r="A171" s="235" t="s">
        <v>115</v>
      </c>
      <c r="B171" s="604"/>
      <c r="C171" s="236">
        <f t="shared" ref="C171:I171" si="17">C166+C170</f>
        <v>0</v>
      </c>
      <c r="D171" s="236">
        <f t="shared" si="17"/>
        <v>0</v>
      </c>
      <c r="E171" s="236">
        <f t="shared" si="17"/>
        <v>0</v>
      </c>
      <c r="F171" s="236">
        <f t="shared" si="17"/>
        <v>0</v>
      </c>
      <c r="G171" s="236">
        <f t="shared" si="17"/>
        <v>367369.94</v>
      </c>
      <c r="H171" s="236">
        <f t="shared" si="17"/>
        <v>0</v>
      </c>
      <c r="I171" s="86">
        <f t="shared" si="17"/>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2" workbookViewId="0">
      <selection activeCell="A170" sqref="A170"/>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293</v>
      </c>
    </row>
    <row r="5" spans="1:17" s="2" customFormat="1" ht="15.75" x14ac:dyDescent="0.25">
      <c r="A5" s="239" t="s">
        <v>134</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81" t="s">
        <v>294</v>
      </c>
      <c r="B12" s="582"/>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6</v>
      </c>
      <c r="E16" s="34"/>
      <c r="F16" s="34"/>
      <c r="G16" s="35"/>
      <c r="H16" s="36">
        <f t="shared" si="0"/>
        <v>6</v>
      </c>
      <c r="I16" s="37">
        <v>6</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6</v>
      </c>
      <c r="E19" s="52">
        <f>SUM(E12:E18)</f>
        <v>0</v>
      </c>
      <c r="F19" s="52">
        <f>SUM(F12:F18)</f>
        <v>0</v>
      </c>
      <c r="G19" s="53"/>
      <c r="H19" s="54">
        <f>SUM(D19:F19)</f>
        <v>6</v>
      </c>
      <c r="I19" s="85">
        <f>SUM(I12:I18)</f>
        <v>6</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81" t="s">
        <v>295</v>
      </c>
      <c r="B23" s="582"/>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242</v>
      </c>
      <c r="E27" s="34"/>
      <c r="F27" s="34"/>
      <c r="G27" s="35"/>
      <c r="H27" s="36">
        <f t="shared" si="1"/>
        <v>242</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242</v>
      </c>
      <c r="E30" s="52">
        <f>SUM(E23:E29)</f>
        <v>0</v>
      </c>
      <c r="F30" s="52">
        <f>SUM(F23:F29)</f>
        <v>0</v>
      </c>
      <c r="G30" s="52">
        <f>SUM(G23:G29)</f>
        <v>0</v>
      </c>
      <c r="H30" s="54">
        <f t="shared" ref="H30" si="2">SUM(D30:F30)</f>
        <v>242</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81" t="s">
        <v>296</v>
      </c>
      <c r="B36" s="582"/>
      <c r="C36" s="32">
        <v>2014</v>
      </c>
      <c r="D36" s="78"/>
      <c r="E36" s="79"/>
      <c r="F36" s="80"/>
      <c r="G36" s="80"/>
      <c r="H36" s="80"/>
      <c r="I36" s="80"/>
      <c r="J36" s="80"/>
      <c r="K36" s="81"/>
    </row>
    <row r="37" spans="1:13" x14ac:dyDescent="0.25">
      <c r="A37" s="534"/>
      <c r="B37" s="535"/>
      <c r="C37" s="32">
        <v>2015</v>
      </c>
      <c r="D37" s="78"/>
      <c r="E37" s="37"/>
      <c r="F37" s="34"/>
      <c r="G37" s="34"/>
      <c r="H37" s="34"/>
      <c r="I37" s="34"/>
      <c r="J37" s="34"/>
      <c r="K37" s="38"/>
    </row>
    <row r="38" spans="1:13" x14ac:dyDescent="0.25">
      <c r="A38" s="534"/>
      <c r="B38" s="535"/>
      <c r="C38" s="32">
        <v>2016</v>
      </c>
      <c r="D38" s="78"/>
      <c r="E38" s="37"/>
      <c r="F38" s="34"/>
      <c r="G38" s="34"/>
      <c r="H38" s="34"/>
      <c r="I38" s="34"/>
      <c r="J38" s="34"/>
      <c r="K38" s="38"/>
    </row>
    <row r="39" spans="1:13" x14ac:dyDescent="0.25">
      <c r="A39" s="534"/>
      <c r="B39" s="535"/>
      <c r="C39" s="32">
        <v>2017</v>
      </c>
      <c r="D39" s="82"/>
      <c r="E39" s="42"/>
      <c r="F39" s="40"/>
      <c r="G39" s="40"/>
      <c r="H39" s="40"/>
      <c r="I39" s="40"/>
      <c r="J39" s="40"/>
      <c r="K39" s="43"/>
    </row>
    <row r="40" spans="1:13" x14ac:dyDescent="0.25">
      <c r="A40" s="534"/>
      <c r="B40" s="535"/>
      <c r="C40" s="32">
        <v>2018</v>
      </c>
      <c r="D40" s="78">
        <v>3</v>
      </c>
      <c r="E40" s="37">
        <v>3</v>
      </c>
      <c r="F40" s="34"/>
      <c r="G40" s="34"/>
      <c r="H40" s="34"/>
      <c r="I40" s="34"/>
      <c r="J40" s="34"/>
      <c r="K40" s="38"/>
    </row>
    <row r="41" spans="1:13" x14ac:dyDescent="0.25">
      <c r="A41" s="534"/>
      <c r="B41" s="535"/>
      <c r="C41" s="32">
        <v>2019</v>
      </c>
      <c r="D41" s="78"/>
      <c r="E41" s="37"/>
      <c r="F41" s="34"/>
      <c r="G41" s="34"/>
      <c r="H41" s="34"/>
      <c r="I41" s="34"/>
      <c r="J41" s="34"/>
      <c r="K41" s="38"/>
    </row>
    <row r="42" spans="1:13" ht="17.25" customHeight="1" x14ac:dyDescent="0.25">
      <c r="A42" s="534"/>
      <c r="B42" s="535"/>
      <c r="C42" s="32">
        <v>2020</v>
      </c>
      <c r="D42" s="78"/>
      <c r="E42" s="37"/>
      <c r="F42" s="34"/>
      <c r="G42" s="34"/>
      <c r="H42" s="34"/>
      <c r="I42" s="34"/>
      <c r="J42" s="34"/>
      <c r="K42" s="38"/>
    </row>
    <row r="43" spans="1:13" ht="35.25" customHeight="1" thickBot="1" x14ac:dyDescent="0.3">
      <c r="A43" s="536"/>
      <c r="B43" s="537"/>
      <c r="C43" s="50" t="s">
        <v>14</v>
      </c>
      <c r="D43" s="84">
        <f>SUM(D36:D42)</f>
        <v>3</v>
      </c>
      <c r="E43" s="85">
        <f t="shared" ref="E43:J43" si="3">SUM(E36:E42)</f>
        <v>3</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1" t="s">
        <v>297</v>
      </c>
      <c r="B131" s="582"/>
      <c r="C131" s="32">
        <v>2014</v>
      </c>
      <c r="D131" s="33"/>
      <c r="E131" s="34"/>
      <c r="F131" s="34"/>
      <c r="G131" s="203">
        <f t="shared" ref="G131:G137" si="12">SUM(D131:E131)</f>
        <v>0</v>
      </c>
      <c r="H131" s="101"/>
      <c r="I131" s="37"/>
      <c r="J131" s="34"/>
      <c r="K131" s="34"/>
      <c r="L131" s="34"/>
      <c r="M131" s="34"/>
      <c r="N131" s="34"/>
      <c r="O131" s="38"/>
    </row>
    <row r="132" spans="1:15" x14ac:dyDescent="0.25">
      <c r="A132" s="534"/>
      <c r="B132" s="535"/>
      <c r="C132" s="32">
        <v>2015</v>
      </c>
      <c r="D132" s="33"/>
      <c r="E132" s="34"/>
      <c r="F132" s="34"/>
      <c r="G132" s="203">
        <f t="shared" si="12"/>
        <v>0</v>
      </c>
      <c r="H132" s="101"/>
      <c r="I132" s="37"/>
      <c r="J132" s="34"/>
      <c r="K132" s="34"/>
      <c r="L132" s="34"/>
      <c r="M132" s="34"/>
      <c r="N132" s="34"/>
      <c r="O132" s="38"/>
    </row>
    <row r="133" spans="1:15" x14ac:dyDescent="0.25">
      <c r="A133" s="534"/>
      <c r="B133" s="535"/>
      <c r="C133" s="32">
        <v>2016</v>
      </c>
      <c r="D133" s="33"/>
      <c r="E133" s="34"/>
      <c r="F133" s="34"/>
      <c r="G133" s="203">
        <f t="shared" si="12"/>
        <v>0</v>
      </c>
      <c r="H133" s="101"/>
      <c r="I133" s="37"/>
      <c r="J133" s="34"/>
      <c r="K133" s="34"/>
      <c r="L133" s="34"/>
      <c r="M133" s="34"/>
      <c r="N133" s="34"/>
      <c r="O133" s="38"/>
    </row>
    <row r="134" spans="1:15" x14ac:dyDescent="0.25">
      <c r="A134" s="534"/>
      <c r="B134" s="535"/>
      <c r="C134" s="32">
        <v>2017</v>
      </c>
      <c r="D134" s="39"/>
      <c r="E134" s="40"/>
      <c r="F134" s="40"/>
      <c r="G134" s="203">
        <f t="shared" si="12"/>
        <v>0</v>
      </c>
      <c r="H134" s="101"/>
      <c r="I134" s="42"/>
      <c r="J134" s="40"/>
      <c r="K134" s="40"/>
      <c r="L134" s="40"/>
      <c r="M134" s="40"/>
      <c r="N134" s="40"/>
      <c r="O134" s="43"/>
    </row>
    <row r="135" spans="1:15" x14ac:dyDescent="0.25">
      <c r="A135" s="534"/>
      <c r="B135" s="535"/>
      <c r="C135" s="32">
        <v>2018</v>
      </c>
      <c r="D135" s="389">
        <v>1</v>
      </c>
      <c r="E135" s="391">
        <v>2</v>
      </c>
      <c r="F135" s="391">
        <v>3</v>
      </c>
      <c r="G135" s="203">
        <f>SUM(D135:F135)</f>
        <v>6</v>
      </c>
      <c r="H135" s="101">
        <v>17</v>
      </c>
      <c r="I135" s="37">
        <v>6</v>
      </c>
      <c r="J135" s="34"/>
      <c r="K135" s="34"/>
      <c r="L135" s="34"/>
      <c r="M135" s="34"/>
      <c r="N135" s="34"/>
      <c r="O135" s="38"/>
    </row>
    <row r="136" spans="1:15" x14ac:dyDescent="0.25">
      <c r="A136" s="534"/>
      <c r="B136" s="535"/>
      <c r="C136" s="32">
        <v>2019</v>
      </c>
      <c r="D136" s="33"/>
      <c r="E136" s="34"/>
      <c r="F136" s="34"/>
      <c r="G136" s="203">
        <f t="shared" si="12"/>
        <v>0</v>
      </c>
      <c r="H136" s="101"/>
      <c r="I136" s="37"/>
      <c r="J136" s="34"/>
      <c r="K136" s="34"/>
      <c r="L136" s="34"/>
      <c r="M136" s="34"/>
      <c r="N136" s="34"/>
      <c r="O136" s="38"/>
    </row>
    <row r="137" spans="1:15" x14ac:dyDescent="0.25">
      <c r="A137" s="534"/>
      <c r="B137" s="535"/>
      <c r="C137" s="32">
        <v>2020</v>
      </c>
      <c r="D137" s="33"/>
      <c r="E137" s="34"/>
      <c r="F137" s="34"/>
      <c r="G137" s="203">
        <f t="shared" si="12"/>
        <v>0</v>
      </c>
      <c r="H137" s="101"/>
      <c r="I137" s="37"/>
      <c r="J137" s="34"/>
      <c r="K137" s="34"/>
      <c r="L137" s="34"/>
      <c r="M137" s="34"/>
      <c r="N137" s="34"/>
      <c r="O137" s="38"/>
    </row>
    <row r="138" spans="1:15" ht="15.95" customHeight="1" thickBot="1" x14ac:dyDescent="0.3">
      <c r="A138" s="536"/>
      <c r="B138" s="537"/>
      <c r="C138" s="50" t="s">
        <v>14</v>
      </c>
      <c r="D138" s="51">
        <f>SUM(D131:D137)</f>
        <v>1</v>
      </c>
      <c r="E138" s="52">
        <f>SUM(E131:E137)</f>
        <v>2</v>
      </c>
      <c r="F138" s="52">
        <f>SUM(F131:F137)</f>
        <v>3</v>
      </c>
      <c r="G138" s="205">
        <f t="shared" ref="G138:O138" si="13">SUM(G131:G137)</f>
        <v>6</v>
      </c>
      <c r="H138" s="206">
        <f t="shared" si="13"/>
        <v>17</v>
      </c>
      <c r="I138" s="85">
        <f t="shared" si="13"/>
        <v>6</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298</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89">
        <v>20</v>
      </c>
      <c r="E146" s="391">
        <v>45</v>
      </c>
      <c r="F146" s="391">
        <v>177</v>
      </c>
      <c r="G146" s="214">
        <f t="shared" si="14"/>
        <v>242</v>
      </c>
      <c r="H146" s="37"/>
      <c r="I146" s="34"/>
      <c r="J146" s="391">
        <v>89</v>
      </c>
      <c r="K146" s="391"/>
      <c r="L146" s="415">
        <v>153</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61.5" customHeight="1" thickBot="1" x14ac:dyDescent="0.3">
      <c r="A149" s="536"/>
      <c r="B149" s="537"/>
      <c r="C149" s="50" t="s">
        <v>14</v>
      </c>
      <c r="D149" s="51">
        <f t="shared" ref="D149:L149" si="15">SUM(D142:D148)</f>
        <v>20</v>
      </c>
      <c r="E149" s="52">
        <f t="shared" si="15"/>
        <v>45</v>
      </c>
      <c r="F149" s="52">
        <f t="shared" si="15"/>
        <v>177</v>
      </c>
      <c r="G149" s="54">
        <f t="shared" si="15"/>
        <v>242</v>
      </c>
      <c r="H149" s="85">
        <f t="shared" si="15"/>
        <v>0</v>
      </c>
      <c r="I149" s="52">
        <f t="shared" si="15"/>
        <v>0</v>
      </c>
      <c r="J149" s="52">
        <f t="shared" si="15"/>
        <v>89</v>
      </c>
      <c r="K149" s="52">
        <f t="shared" si="15"/>
        <v>0</v>
      </c>
      <c r="L149" s="86">
        <f t="shared" si="15"/>
        <v>153</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230">
        <f t="shared" si="16"/>
        <v>158315.4</v>
      </c>
      <c r="H166" s="230">
        <f t="shared" si="16"/>
        <v>0</v>
      </c>
      <c r="I166" s="231">
        <f t="shared" si="16"/>
        <v>0</v>
      </c>
    </row>
    <row r="167" spans="1:9" ht="15.75" x14ac:dyDescent="0.25">
      <c r="A167" s="232" t="s">
        <v>111</v>
      </c>
      <c r="B167" s="243"/>
      <c r="C167" s="78"/>
      <c r="D167" s="78"/>
      <c r="E167" s="78"/>
      <c r="F167" s="82"/>
      <c r="G167" s="416">
        <v>158315.4</v>
      </c>
      <c r="H167" s="78"/>
      <c r="I167" s="233"/>
    </row>
    <row r="168" spans="1:9" ht="15.75" x14ac:dyDescent="0.25">
      <c r="A168" s="232" t="s">
        <v>112</v>
      </c>
      <c r="B168" s="243"/>
      <c r="C168" s="78"/>
      <c r="D168" s="78"/>
      <c r="E168" s="78"/>
      <c r="F168" s="82"/>
      <c r="G168" s="78"/>
      <c r="H168" s="78"/>
      <c r="I168" s="233"/>
    </row>
    <row r="169" spans="1:9" ht="15.75" x14ac:dyDescent="0.25">
      <c r="A169" s="232" t="s">
        <v>113</v>
      </c>
      <c r="B169" s="243"/>
      <c r="C169" s="78"/>
      <c r="D169" s="78"/>
      <c r="E169" s="78"/>
      <c r="F169" s="82"/>
      <c r="G169" s="78"/>
      <c r="H169" s="78"/>
      <c r="I169" s="233"/>
    </row>
    <row r="170" spans="1:9" ht="114.75" customHeight="1" x14ac:dyDescent="0.25">
      <c r="A170" s="234" t="s">
        <v>114</v>
      </c>
      <c r="B170" s="243" t="s">
        <v>299</v>
      </c>
      <c r="C170" s="78"/>
      <c r="D170" s="78"/>
      <c r="E170" s="78"/>
      <c r="F170" s="82"/>
      <c r="G170" s="417">
        <v>118684.01</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276999.40999999997</v>
      </c>
      <c r="H171" s="236">
        <f t="shared" si="17"/>
        <v>0</v>
      </c>
      <c r="I171" s="86">
        <f t="shared" si="17"/>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2"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300</v>
      </c>
    </row>
    <row r="5" spans="1:17" s="2" customFormat="1" ht="15.75" x14ac:dyDescent="0.25">
      <c r="A5" s="239" t="s">
        <v>118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301</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16</v>
      </c>
      <c r="E16" s="34"/>
      <c r="F16" s="34"/>
      <c r="G16" s="35"/>
      <c r="H16" s="36">
        <f t="shared" si="0"/>
        <v>16</v>
      </c>
      <c r="I16" s="37">
        <v>16</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16</v>
      </c>
      <c r="E19" s="52">
        <f>SUM(E12:E18)</f>
        <v>0</v>
      </c>
      <c r="F19" s="52">
        <f>SUM(F12:F18)</f>
        <v>0</v>
      </c>
      <c r="G19" s="53"/>
      <c r="H19" s="54">
        <f>SUM(D19:F19)</f>
        <v>16</v>
      </c>
      <c r="I19" s="85">
        <f>SUM(I12:I18)</f>
        <v>16</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302</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867</v>
      </c>
      <c r="E27" s="34"/>
      <c r="F27" s="34"/>
      <c r="G27" s="35"/>
      <c r="H27" s="36">
        <f t="shared" si="1"/>
        <v>867</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57.75" customHeight="1" thickBot="1" x14ac:dyDescent="0.3">
      <c r="A30" s="536"/>
      <c r="B30" s="537"/>
      <c r="C30" s="50" t="s">
        <v>14</v>
      </c>
      <c r="D30" s="51">
        <f>SUM(D23:D29)</f>
        <v>867</v>
      </c>
      <c r="E30" s="52">
        <f>SUM(E23:E29)</f>
        <v>0</v>
      </c>
      <c r="F30" s="52">
        <f>SUM(F23:F29)</f>
        <v>0</v>
      </c>
      <c r="G30" s="52">
        <f>SUM(G23:G29)</f>
        <v>0</v>
      </c>
      <c r="H30" s="54">
        <f t="shared" ref="H30" si="2">SUM(D30:F30)</f>
        <v>867</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c r="E40" s="37"/>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0</v>
      </c>
      <c r="E43" s="85">
        <f t="shared" ref="E43:J43" si="3">SUM(E36:E42)</f>
        <v>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303</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10</v>
      </c>
      <c r="E135" s="34">
        <v>5</v>
      </c>
      <c r="F135" s="34">
        <v>1</v>
      </c>
      <c r="G135" s="203">
        <f t="shared" si="12"/>
        <v>15</v>
      </c>
      <c r="H135" s="101">
        <v>19</v>
      </c>
      <c r="I135" s="37">
        <v>17</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42.75" customHeight="1" thickBot="1" x14ac:dyDescent="0.3">
      <c r="A138" s="591"/>
      <c r="B138" s="592"/>
      <c r="C138" s="50" t="s">
        <v>14</v>
      </c>
      <c r="D138" s="51">
        <f>SUM(D131:D137)</f>
        <v>10</v>
      </c>
      <c r="E138" s="52">
        <f>SUM(E131:E137)</f>
        <v>5</v>
      </c>
      <c r="F138" s="52">
        <f>SUM(F131:F137)</f>
        <v>1</v>
      </c>
      <c r="G138" s="205">
        <f t="shared" ref="G138:O138" si="13">SUM(G131:G137)</f>
        <v>15</v>
      </c>
      <c r="H138" s="206">
        <f t="shared" si="13"/>
        <v>19</v>
      </c>
      <c r="I138" s="85">
        <f t="shared" si="13"/>
        <v>17</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302</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444</v>
      </c>
      <c r="E146" s="34">
        <v>350</v>
      </c>
      <c r="F146" s="34">
        <v>73</v>
      </c>
      <c r="G146" s="214">
        <f t="shared" si="14"/>
        <v>867</v>
      </c>
      <c r="H146" s="37"/>
      <c r="I146" s="34"/>
      <c r="J146" s="34">
        <v>242</v>
      </c>
      <c r="K146" s="34"/>
      <c r="L146" s="38">
        <v>625</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57.75" customHeight="1" thickBot="1" x14ac:dyDescent="0.3">
      <c r="A149" s="536"/>
      <c r="B149" s="537"/>
      <c r="C149" s="50" t="s">
        <v>14</v>
      </c>
      <c r="D149" s="51">
        <f t="shared" ref="D149:L149" si="15">SUM(D142:D148)</f>
        <v>444</v>
      </c>
      <c r="E149" s="52">
        <f t="shared" si="15"/>
        <v>350</v>
      </c>
      <c r="F149" s="52">
        <f t="shared" si="15"/>
        <v>73</v>
      </c>
      <c r="G149" s="54">
        <f t="shared" si="15"/>
        <v>867</v>
      </c>
      <c r="H149" s="85">
        <f t="shared" si="15"/>
        <v>0</v>
      </c>
      <c r="I149" s="52">
        <f t="shared" si="15"/>
        <v>0</v>
      </c>
      <c r="J149" s="52">
        <f t="shared" si="15"/>
        <v>242</v>
      </c>
      <c r="K149" s="52">
        <f t="shared" si="15"/>
        <v>0</v>
      </c>
      <c r="L149" s="86">
        <f t="shared" si="15"/>
        <v>625</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230">
        <f t="shared" si="16"/>
        <v>126043.84</v>
      </c>
      <c r="H166" s="230">
        <f t="shared" si="16"/>
        <v>0</v>
      </c>
      <c r="I166" s="231">
        <f t="shared" si="16"/>
        <v>0</v>
      </c>
    </row>
    <row r="167" spans="1:9" ht="15.75" customHeight="1" x14ac:dyDescent="0.25">
      <c r="A167" s="232" t="s">
        <v>111</v>
      </c>
      <c r="B167" s="243"/>
      <c r="C167" s="78"/>
      <c r="D167" s="78"/>
      <c r="E167" s="78"/>
      <c r="F167" s="82"/>
      <c r="G167" s="78">
        <v>126043.84</v>
      </c>
      <c r="H167" s="78"/>
      <c r="I167" s="233"/>
    </row>
    <row r="168" spans="1:9" ht="15.75" x14ac:dyDescent="0.25">
      <c r="A168" s="232" t="s">
        <v>112</v>
      </c>
      <c r="B168" s="243"/>
      <c r="C168" s="78"/>
      <c r="D168" s="78"/>
      <c r="E168" s="78"/>
      <c r="F168" s="82"/>
      <c r="G168" s="78"/>
      <c r="H168" s="78"/>
      <c r="I168" s="233"/>
    </row>
    <row r="169" spans="1:9" ht="15.75" x14ac:dyDescent="0.25">
      <c r="A169" s="232" t="s">
        <v>113</v>
      </c>
      <c r="B169" s="243"/>
      <c r="C169" s="78"/>
      <c r="D169" s="78"/>
      <c r="E169" s="78"/>
      <c r="F169" s="82"/>
      <c r="G169" s="78"/>
      <c r="H169" s="78"/>
      <c r="I169" s="233"/>
    </row>
    <row r="170" spans="1:9" ht="38.25" x14ac:dyDescent="0.25">
      <c r="A170" s="234" t="s">
        <v>114</v>
      </c>
      <c r="B170" s="243" t="s">
        <v>304</v>
      </c>
      <c r="C170" s="78"/>
      <c r="D170" s="78"/>
      <c r="E170" s="78"/>
      <c r="F170" s="82"/>
      <c r="G170" s="78">
        <v>117932.97</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243976.81</v>
      </c>
      <c r="H171" s="236">
        <f t="shared" si="17"/>
        <v>0</v>
      </c>
      <c r="I171" s="86">
        <f t="shared" si="17"/>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opLeftCell="A76" workbookViewId="0">
      <selection activeCell="A11" sqref="A11"/>
    </sheetView>
  </sheetViews>
  <sheetFormatPr defaultColWidth="8.85546875" defaultRowHeight="15" x14ac:dyDescent="0.25"/>
  <cols>
    <col min="1" max="1" width="87.28515625" customWidth="1"/>
    <col min="2" max="2" width="47.855468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305</v>
      </c>
    </row>
    <row r="5" spans="1:17" s="2" customFormat="1" ht="15.75" x14ac:dyDescent="0.25">
      <c r="A5" s="239" t="s">
        <v>258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306</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7</v>
      </c>
      <c r="E16" s="34"/>
      <c r="F16" s="34"/>
      <c r="G16" s="35"/>
      <c r="H16" s="36">
        <f t="shared" si="0"/>
        <v>7</v>
      </c>
      <c r="I16" s="37">
        <v>7</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7</v>
      </c>
      <c r="E19" s="52">
        <f>SUM(E12:E18)</f>
        <v>0</v>
      </c>
      <c r="F19" s="52">
        <f>SUM(F12:F18)</f>
        <v>0</v>
      </c>
      <c r="G19" s="53"/>
      <c r="H19" s="54">
        <f>SUM(D19:F19)</f>
        <v>7</v>
      </c>
      <c r="I19" s="85">
        <f>SUM(I12:I18)</f>
        <v>7</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307</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171</v>
      </c>
      <c r="E27" s="34"/>
      <c r="F27" s="34"/>
      <c r="G27" s="35"/>
      <c r="H27" s="36">
        <f t="shared" si="1"/>
        <v>171</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171</v>
      </c>
      <c r="E30" s="52">
        <f>SUM(E23:E29)</f>
        <v>0</v>
      </c>
      <c r="F30" s="52">
        <f>SUM(F23:F29)</f>
        <v>0</v>
      </c>
      <c r="G30" s="52">
        <f>SUM(G23:G29)</f>
        <v>0</v>
      </c>
      <c r="H30" s="54">
        <f t="shared" ref="H30" si="2">SUM(D30:F30)</f>
        <v>171</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308</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10</v>
      </c>
      <c r="E40" s="37">
        <v>10</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91.5" customHeight="1" thickBot="1" x14ac:dyDescent="0.3">
      <c r="A43" s="542"/>
      <c r="B43" s="543"/>
      <c r="C43" s="50" t="s">
        <v>14</v>
      </c>
      <c r="D43" s="84">
        <f>SUM(D36:D42)</f>
        <v>10</v>
      </c>
      <c r="E43" s="85">
        <f t="shared" ref="E43:J43" si="3">SUM(E36:E42)</f>
        <v>10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309</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6</v>
      </c>
      <c r="E135" s="34"/>
      <c r="F135" s="34">
        <v>1</v>
      </c>
      <c r="G135" s="203">
        <v>7</v>
      </c>
      <c r="H135" s="101">
        <v>8</v>
      </c>
      <c r="I135" s="37">
        <v>7</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6</v>
      </c>
      <c r="E138" s="52">
        <f>SUM(E131:E137)</f>
        <v>0</v>
      </c>
      <c r="F138" s="52">
        <f>SUM(F131:F137)</f>
        <v>1</v>
      </c>
      <c r="G138" s="205">
        <f t="shared" ref="G138:O138" si="13">SUM(G131:G137)</f>
        <v>7</v>
      </c>
      <c r="H138" s="206"/>
      <c r="I138" s="85">
        <f t="shared" si="13"/>
        <v>7</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310</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120</v>
      </c>
      <c r="E146" s="34"/>
      <c r="F146" s="34">
        <v>102</v>
      </c>
      <c r="G146" s="214">
        <v>222</v>
      </c>
      <c r="H146" s="37"/>
      <c r="I146" s="34"/>
      <c r="J146" s="34">
        <v>9</v>
      </c>
      <c r="K146" s="34">
        <v>213</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82.5" customHeight="1" thickBot="1" x14ac:dyDescent="0.3">
      <c r="A149" s="536"/>
      <c r="B149" s="537"/>
      <c r="C149" s="50" t="s">
        <v>14</v>
      </c>
      <c r="D149" s="51">
        <f t="shared" ref="D149:L149" si="15">SUM(D142:D148)</f>
        <v>120</v>
      </c>
      <c r="E149" s="52">
        <f t="shared" si="15"/>
        <v>0</v>
      </c>
      <c r="F149" s="52">
        <f t="shared" si="15"/>
        <v>102</v>
      </c>
      <c r="G149" s="54">
        <f t="shared" si="15"/>
        <v>222</v>
      </c>
      <c r="H149" s="85">
        <f t="shared" si="15"/>
        <v>0</v>
      </c>
      <c r="I149" s="52">
        <f t="shared" si="15"/>
        <v>0</v>
      </c>
      <c r="J149" s="52">
        <f t="shared" si="15"/>
        <v>9</v>
      </c>
      <c r="K149" s="52">
        <f t="shared" si="15"/>
        <v>213</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311</v>
      </c>
      <c r="B166" s="583" t="s">
        <v>312</v>
      </c>
      <c r="C166" s="230">
        <f>SUM(C167:C169)</f>
        <v>0</v>
      </c>
      <c r="D166" s="230">
        <f t="shared" ref="D166:I166" si="16">SUM(D167:D169)</f>
        <v>0</v>
      </c>
      <c r="E166" s="230">
        <f t="shared" si="16"/>
        <v>0</v>
      </c>
      <c r="F166" s="230">
        <f t="shared" si="16"/>
        <v>0</v>
      </c>
      <c r="G166" s="372">
        <v>143663.9</v>
      </c>
      <c r="H166" s="230">
        <f t="shared" si="16"/>
        <v>0</v>
      </c>
      <c r="I166" s="231">
        <f t="shared" si="16"/>
        <v>0</v>
      </c>
    </row>
    <row r="167" spans="1:9" ht="15.75" x14ac:dyDescent="0.25">
      <c r="A167" s="232" t="s">
        <v>313</v>
      </c>
      <c r="B167" s="584"/>
      <c r="C167" s="78"/>
      <c r="D167" s="78"/>
      <c r="E167" s="78"/>
      <c r="F167" s="82"/>
      <c r="G167" s="289">
        <v>143663.9</v>
      </c>
      <c r="H167" s="78"/>
      <c r="I167" s="233"/>
    </row>
    <row r="168" spans="1:9" ht="15.75" x14ac:dyDescent="0.25">
      <c r="A168" s="232" t="s">
        <v>314</v>
      </c>
      <c r="B168" s="584"/>
      <c r="C168" s="78"/>
      <c r="D168" s="78"/>
      <c r="E168" s="78"/>
      <c r="F168" s="82"/>
      <c r="G168" s="289">
        <v>91054.91</v>
      </c>
      <c r="H168" s="78"/>
      <c r="I168" s="233"/>
    </row>
    <row r="169" spans="1:9" ht="15.75" x14ac:dyDescent="0.25">
      <c r="A169" s="232"/>
      <c r="B169" s="584"/>
      <c r="C169" s="78"/>
      <c r="D169" s="78"/>
      <c r="E169" s="78"/>
      <c r="F169" s="82"/>
      <c r="H169" s="78"/>
      <c r="I169" s="233"/>
    </row>
    <row r="170" spans="1:9" ht="15.75" x14ac:dyDescent="0.25">
      <c r="A170" s="234"/>
      <c r="B170" s="584"/>
      <c r="C170" s="78"/>
      <c r="D170" s="78"/>
      <c r="E170" s="78"/>
      <c r="F170" s="82"/>
      <c r="G170" s="412"/>
      <c r="H170" s="78"/>
      <c r="I170" s="233"/>
    </row>
    <row r="171" spans="1:9" ht="409.5" customHeight="1" x14ac:dyDescent="0.25">
      <c r="A171" s="658" t="s">
        <v>115</v>
      </c>
      <c r="B171" s="584"/>
      <c r="C171" s="649">
        <f t="shared" ref="C171:I171" si="17">C166+C170</f>
        <v>0</v>
      </c>
      <c r="D171" s="649">
        <f t="shared" si="17"/>
        <v>0</v>
      </c>
      <c r="E171" s="649">
        <f t="shared" si="17"/>
        <v>0</v>
      </c>
      <c r="F171" s="649">
        <f t="shared" si="17"/>
        <v>0</v>
      </c>
      <c r="G171" s="652">
        <v>234718.81</v>
      </c>
      <c r="H171" s="649">
        <f t="shared" si="17"/>
        <v>0</v>
      </c>
      <c r="I171" s="655">
        <f t="shared" si="17"/>
        <v>0</v>
      </c>
    </row>
    <row r="172" spans="1:9" ht="409.6" customHeight="1" x14ac:dyDescent="0.25">
      <c r="A172" s="658"/>
      <c r="B172" s="584"/>
      <c r="C172" s="650"/>
      <c r="D172" s="650"/>
      <c r="E172" s="650"/>
      <c r="F172" s="650"/>
      <c r="G172" s="653"/>
      <c r="H172" s="650"/>
      <c r="I172" s="656"/>
    </row>
    <row r="173" spans="1:9" ht="409.6" customHeight="1" thickBot="1" x14ac:dyDescent="0.3">
      <c r="A173" s="659"/>
      <c r="B173" s="585"/>
      <c r="C173" s="651"/>
      <c r="D173" s="651"/>
      <c r="E173" s="651"/>
      <c r="F173" s="651"/>
      <c r="G173" s="654"/>
      <c r="H173" s="651"/>
      <c r="I173" s="657"/>
    </row>
  </sheetData>
  <mergeCells count="58">
    <mergeCell ref="H171:H173"/>
    <mergeCell ref="I171:I173"/>
    <mergeCell ref="D171:D173"/>
    <mergeCell ref="I129:O129"/>
    <mergeCell ref="A131:B138"/>
    <mergeCell ref="A140:A141"/>
    <mergeCell ref="B140:B141"/>
    <mergeCell ref="C140:C141"/>
    <mergeCell ref="D140:G140"/>
    <mergeCell ref="H140:L140"/>
    <mergeCell ref="A142:B149"/>
    <mergeCell ref="A155:B162"/>
    <mergeCell ref="B166:B173"/>
    <mergeCell ref="A171:A173"/>
    <mergeCell ref="C171:C173"/>
    <mergeCell ref="E171:E173"/>
    <mergeCell ref="F171:F173"/>
    <mergeCell ref="G171:G173"/>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1"/>
  <sheetViews>
    <sheetView topLeftCell="A160" workbookViewId="0">
      <selection activeCell="B22" sqref="B22"/>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c r="N1" s="610" t="s">
        <v>370</v>
      </c>
      <c r="O1" s="611"/>
    </row>
    <row r="2" spans="1:17" s="2" customFormat="1" ht="15.75" x14ac:dyDescent="0.25"/>
    <row r="3" spans="1:17" s="2" customFormat="1" ht="15.75" x14ac:dyDescent="0.25">
      <c r="A3" s="3" t="s">
        <v>1</v>
      </c>
    </row>
    <row r="4" spans="1:17" s="2" customFormat="1" ht="15.75" x14ac:dyDescent="0.25">
      <c r="A4" s="4" t="s">
        <v>371</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63.75"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372</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58</v>
      </c>
      <c r="E16" s="34"/>
      <c r="F16" s="34"/>
      <c r="G16" s="35">
        <v>27</v>
      </c>
      <c r="H16" s="36">
        <f t="shared" si="0"/>
        <v>85</v>
      </c>
      <c r="I16" s="37">
        <f>1+4+2</f>
        <v>7</v>
      </c>
      <c r="J16" s="34">
        <v>22</v>
      </c>
      <c r="K16" s="34">
        <v>10</v>
      </c>
      <c r="L16" s="34"/>
      <c r="M16" s="34"/>
      <c r="N16" s="34">
        <v>39</v>
      </c>
      <c r="O16" s="38">
        <v>7</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35.25" customHeight="1" thickBot="1" x14ac:dyDescent="0.3">
      <c r="A19" s="536"/>
      <c r="B19" s="537"/>
      <c r="C19" s="50" t="s">
        <v>14</v>
      </c>
      <c r="D19" s="51">
        <f>SUM(D12:D18)</f>
        <v>58</v>
      </c>
      <c r="E19" s="52">
        <f>SUM(E12:E18)</f>
        <v>0</v>
      </c>
      <c r="F19" s="52">
        <f>SUM(F12:F18)</f>
        <v>0</v>
      </c>
      <c r="G19" s="53"/>
      <c r="H19" s="54">
        <f>SUM(D19:F19)</f>
        <v>58</v>
      </c>
      <c r="I19" s="85">
        <f>SUM(I12:I18)</f>
        <v>7</v>
      </c>
      <c r="J19" s="52"/>
      <c r="K19" s="52">
        <f>SUM(K12:K18)</f>
        <v>10</v>
      </c>
      <c r="L19" s="52">
        <f>SUM(L12:L18)</f>
        <v>0</v>
      </c>
      <c r="M19" s="52">
        <f>SUM(M12:M18)</f>
        <v>0</v>
      </c>
      <c r="N19" s="52">
        <f>SUM(N12:N18)</f>
        <v>39</v>
      </c>
      <c r="O19" s="86">
        <f>SUM(O12:O18)</f>
        <v>7</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9.5" customHeight="1" x14ac:dyDescent="0.3">
      <c r="A22" s="60" t="s">
        <v>22</v>
      </c>
      <c r="B22" s="507" t="s">
        <v>23</v>
      </c>
      <c r="C22" s="533"/>
      <c r="D22" s="62" t="s">
        <v>10</v>
      </c>
      <c r="E22" s="63" t="s">
        <v>11</v>
      </c>
      <c r="F22" s="63" t="s">
        <v>12</v>
      </c>
      <c r="G22" s="64" t="s">
        <v>13</v>
      </c>
      <c r="H22" s="25" t="s">
        <v>14</v>
      </c>
    </row>
    <row r="23" spans="1:17" ht="15" customHeight="1" x14ac:dyDescent="0.25">
      <c r="A23" s="534" t="s">
        <v>373</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3654</v>
      </c>
      <c r="E27" s="34"/>
      <c r="F27" s="34"/>
      <c r="G27" s="35">
        <v>69900</v>
      </c>
      <c r="H27" s="36">
        <f t="shared" si="1"/>
        <v>73554</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18" customHeight="1" thickBot="1" x14ac:dyDescent="0.3">
      <c r="A30" s="536"/>
      <c r="B30" s="537"/>
      <c r="C30" s="50" t="s">
        <v>14</v>
      </c>
      <c r="D30" s="51">
        <f>SUM(D23:D29)</f>
        <v>3654</v>
      </c>
      <c r="E30" s="52">
        <f>SUM(E23:E29)</f>
        <v>0</v>
      </c>
      <c r="F30" s="52">
        <f>SUM(F23:F29)</f>
        <v>0</v>
      </c>
      <c r="G30" s="52">
        <f>SUM(G23:G29)</f>
        <v>69900</v>
      </c>
      <c r="H30" s="54">
        <f t="shared" ref="H30" si="2">SUM(D30:F30)</f>
        <v>3654</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15.75" customHeight="1" x14ac:dyDescent="0.25">
      <c r="A34" s="552" t="s">
        <v>25</v>
      </c>
      <c r="B34" s="554" t="s">
        <v>26</v>
      </c>
      <c r="C34" s="556" t="s">
        <v>6</v>
      </c>
      <c r="D34" s="538" t="s">
        <v>27</v>
      </c>
      <c r="E34" s="70" t="s">
        <v>28</v>
      </c>
      <c r="F34" s="71"/>
      <c r="G34" s="71"/>
      <c r="H34" s="71"/>
      <c r="I34" s="71"/>
      <c r="J34" s="71"/>
      <c r="K34" s="72"/>
    </row>
    <row r="35" spans="1:13" ht="79.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c r="E40" s="37"/>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18.75" customHeight="1" thickBot="1" x14ac:dyDescent="0.3">
      <c r="A43" s="542"/>
      <c r="B43" s="543"/>
      <c r="C43" s="50" t="s">
        <v>14</v>
      </c>
      <c r="D43" s="84">
        <f>SUM(D36:D42)</f>
        <v>0</v>
      </c>
      <c r="E43" s="85">
        <f t="shared" ref="E43:J43" si="3">SUM(E36:E42)</f>
        <v>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18" customHeight="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04.25"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22.5"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81"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7</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7</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77.2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508" t="s">
        <v>6</v>
      </c>
      <c r="D94" s="139" t="s">
        <v>51</v>
      </c>
      <c r="E94" s="140"/>
      <c r="F94" s="140"/>
      <c r="G94" s="141"/>
      <c r="H94" s="11"/>
      <c r="I94" s="11"/>
      <c r="J94" s="11"/>
      <c r="K94" s="11"/>
      <c r="O94" s="9"/>
      <c r="P94" s="9"/>
    </row>
    <row r="95" spans="1:17" s="9" customFormat="1" ht="64.5" x14ac:dyDescent="0.25">
      <c r="A95" s="559"/>
      <c r="B95" s="561"/>
      <c r="C95" s="509"/>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74</v>
      </c>
      <c r="E99" s="34"/>
      <c r="F99" s="34"/>
      <c r="G99" s="144">
        <f t="shared" si="8"/>
        <v>74</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74</v>
      </c>
      <c r="E102" s="52">
        <f>SUM(E95:E101)</f>
        <v>0</v>
      </c>
      <c r="F102" s="52">
        <f>SUM(F95:F101)</f>
        <v>0</v>
      </c>
      <c r="G102" s="145">
        <f>SUM(G95:G101)</f>
        <v>74</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31.5" customHeight="1" x14ac:dyDescent="0.25">
      <c r="A106" s="569" t="s">
        <v>56</v>
      </c>
      <c r="B106" s="612" t="s">
        <v>57</v>
      </c>
      <c r="C106" s="573" t="s">
        <v>6</v>
      </c>
      <c r="D106" s="154" t="s">
        <v>58</v>
      </c>
      <c r="E106" s="154"/>
      <c r="F106" s="155"/>
      <c r="G106" s="155"/>
      <c r="H106" s="156" t="s">
        <v>59</v>
      </c>
      <c r="I106" s="154"/>
      <c r="J106" s="157"/>
    </row>
    <row r="107" spans="1:16" s="11" customFormat="1" ht="75.75" customHeight="1" x14ac:dyDescent="0.25">
      <c r="A107" s="570"/>
      <c r="B107" s="613"/>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510"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614" t="s">
        <v>38</v>
      </c>
      <c r="C129" s="579" t="s">
        <v>78</v>
      </c>
      <c r="D129" s="193" t="s">
        <v>79</v>
      </c>
      <c r="E129" s="194"/>
      <c r="F129" s="194"/>
      <c r="G129" s="195"/>
      <c r="H129" s="196"/>
      <c r="I129" s="586" t="s">
        <v>28</v>
      </c>
      <c r="J129" s="587"/>
      <c r="K129" s="587"/>
      <c r="L129" s="587"/>
      <c r="M129" s="587"/>
      <c r="N129" s="587"/>
      <c r="O129" s="588"/>
    </row>
    <row r="130" spans="1:15" s="11" customFormat="1" ht="79.5" customHeight="1" x14ac:dyDescent="0.25">
      <c r="A130" s="576"/>
      <c r="B130" s="615"/>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34</v>
      </c>
      <c r="E135" s="34">
        <v>8</v>
      </c>
      <c r="F135" s="34"/>
      <c r="G135" s="203">
        <f>SUM(D135:F135)</f>
        <v>42</v>
      </c>
      <c r="H135" s="101">
        <v>68</v>
      </c>
      <c r="I135" s="37">
        <v>6</v>
      </c>
      <c r="J135" s="34">
        <v>22</v>
      </c>
      <c r="K135" s="34">
        <v>4</v>
      </c>
      <c r="L135" s="34"/>
      <c r="M135" s="34"/>
      <c r="N135" s="34">
        <v>10</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34</v>
      </c>
      <c r="E138" s="52">
        <f>SUM(E131:E137)</f>
        <v>8</v>
      </c>
      <c r="F138" s="52">
        <f>SUM(F131:F137)</f>
        <v>0</v>
      </c>
      <c r="G138" s="205">
        <f t="shared" ref="G138:O138" si="13">SUM(G131:G137)</f>
        <v>42</v>
      </c>
      <c r="H138" s="206">
        <f t="shared" si="13"/>
        <v>68</v>
      </c>
      <c r="I138" s="85">
        <f t="shared" si="13"/>
        <v>6</v>
      </c>
      <c r="J138" s="52">
        <f t="shared" si="13"/>
        <v>22</v>
      </c>
      <c r="K138" s="52">
        <f t="shared" si="13"/>
        <v>4</v>
      </c>
      <c r="L138" s="52">
        <f t="shared" si="13"/>
        <v>0</v>
      </c>
      <c r="M138" s="52">
        <f t="shared" si="13"/>
        <v>0</v>
      </c>
      <c r="N138" s="52">
        <f t="shared" si="13"/>
        <v>10</v>
      </c>
      <c r="O138" s="86">
        <f t="shared" si="13"/>
        <v>0</v>
      </c>
    </row>
    <row r="139" spans="1:15" ht="15.75" thickBot="1" x14ac:dyDescent="0.3">
      <c r="B139" s="10"/>
    </row>
    <row r="140" spans="1:15" ht="21" customHeight="1" x14ac:dyDescent="0.25">
      <c r="A140" s="593" t="s">
        <v>86</v>
      </c>
      <c r="B140" s="616" t="s">
        <v>87</v>
      </c>
      <c r="C140" s="597" t="s">
        <v>6</v>
      </c>
      <c r="D140" s="597" t="s">
        <v>79</v>
      </c>
      <c r="E140" s="597"/>
      <c r="F140" s="597"/>
      <c r="G140" s="599"/>
      <c r="H140" s="600" t="s">
        <v>88</v>
      </c>
      <c r="I140" s="597"/>
      <c r="J140" s="597"/>
      <c r="K140" s="597"/>
      <c r="L140" s="601"/>
    </row>
    <row r="141" spans="1:15" ht="72.75" customHeight="1" x14ac:dyDescent="0.25">
      <c r="A141" s="594"/>
      <c r="B141" s="617"/>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374</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1065</v>
      </c>
      <c r="E146" s="34">
        <v>909</v>
      </c>
      <c r="F146" s="34"/>
      <c r="G146" s="214">
        <f t="shared" si="14"/>
        <v>1974</v>
      </c>
      <c r="H146" s="37"/>
      <c r="I146" s="34">
        <v>149</v>
      </c>
      <c r="J146" s="34">
        <f>3+20+5+15+30</f>
        <v>73</v>
      </c>
      <c r="K146" s="34">
        <f>18+22+260+484+175+19+190+185+51+90+180</f>
        <v>1674</v>
      </c>
      <c r="L146" s="38">
        <f>60+8+10</f>
        <v>78</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1065</v>
      </c>
      <c r="E149" s="52">
        <f t="shared" si="15"/>
        <v>909</v>
      </c>
      <c r="F149" s="52">
        <f t="shared" si="15"/>
        <v>0</v>
      </c>
      <c r="G149" s="54">
        <f t="shared" si="15"/>
        <v>1974</v>
      </c>
      <c r="H149" s="85">
        <f t="shared" si="15"/>
        <v>0</v>
      </c>
      <c r="I149" s="52">
        <f t="shared" si="15"/>
        <v>149</v>
      </c>
      <c r="J149" s="52">
        <f t="shared" si="15"/>
        <v>73</v>
      </c>
      <c r="K149" s="52">
        <f t="shared" si="15"/>
        <v>1674</v>
      </c>
      <c r="L149" s="86">
        <f t="shared" si="15"/>
        <v>78</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83" t="s">
        <v>375</v>
      </c>
      <c r="C166" s="230">
        <f>SUM(C167:C169)</f>
        <v>0</v>
      </c>
      <c r="D166" s="230">
        <f t="shared" ref="D166:I166" si="16">SUM(D167:D169)</f>
        <v>0</v>
      </c>
      <c r="E166" s="230">
        <f t="shared" si="16"/>
        <v>0</v>
      </c>
      <c r="F166" s="230">
        <f t="shared" si="16"/>
        <v>0</v>
      </c>
      <c r="G166" s="230">
        <f t="shared" si="16"/>
        <v>670451.61</v>
      </c>
      <c r="H166" s="230">
        <f t="shared" si="16"/>
        <v>0</v>
      </c>
      <c r="I166" s="231">
        <f t="shared" si="16"/>
        <v>0</v>
      </c>
    </row>
    <row r="167" spans="1:9" ht="15.75" x14ac:dyDescent="0.25">
      <c r="A167" s="232" t="s">
        <v>111</v>
      </c>
      <c r="B167" s="584"/>
      <c r="C167" s="78"/>
      <c r="D167" s="78"/>
      <c r="E167" s="78"/>
      <c r="F167" s="82"/>
      <c r="G167" s="78">
        <v>599698.86</v>
      </c>
      <c r="H167" s="78"/>
      <c r="I167" s="233"/>
    </row>
    <row r="168" spans="1:9" ht="15.75" x14ac:dyDescent="0.25">
      <c r="A168" s="232" t="s">
        <v>112</v>
      </c>
      <c r="B168" s="584"/>
      <c r="C168" s="78"/>
      <c r="D168" s="78"/>
      <c r="E168" s="78"/>
      <c r="F168" s="82"/>
      <c r="H168" s="78"/>
      <c r="I168" s="233"/>
    </row>
    <row r="169" spans="1:9" ht="15.75" x14ac:dyDescent="0.25">
      <c r="A169" s="232" t="s">
        <v>113</v>
      </c>
      <c r="B169" s="584"/>
      <c r="C169" s="78"/>
      <c r="D169" s="78"/>
      <c r="E169" s="78"/>
      <c r="F169" s="82"/>
      <c r="G169" s="78">
        <v>70752.75</v>
      </c>
      <c r="H169" s="78"/>
      <c r="I169" s="233"/>
    </row>
    <row r="170" spans="1:9" ht="31.5" x14ac:dyDescent="0.25">
      <c r="A170" s="234" t="s">
        <v>114</v>
      </c>
      <c r="B170" s="584"/>
      <c r="C170" s="78"/>
      <c r="D170" s="78"/>
      <c r="E170" s="78"/>
      <c r="F170" s="82"/>
      <c r="G170" s="78">
        <v>324540.53000000003</v>
      </c>
      <c r="H170" s="78"/>
      <c r="I170" s="233"/>
    </row>
    <row r="171" spans="1:9" ht="222.75" customHeight="1" thickBot="1" x14ac:dyDescent="0.3">
      <c r="A171" s="235" t="s">
        <v>115</v>
      </c>
      <c r="B171" s="585"/>
      <c r="C171" s="236">
        <f t="shared" ref="C171:I171" si="17">C166+C170</f>
        <v>0</v>
      </c>
      <c r="D171" s="236">
        <f t="shared" si="17"/>
        <v>0</v>
      </c>
      <c r="E171" s="236">
        <f t="shared" si="17"/>
        <v>0</v>
      </c>
      <c r="F171" s="236">
        <f t="shared" si="17"/>
        <v>0</v>
      </c>
      <c r="G171" s="236">
        <f t="shared" si="17"/>
        <v>994992.14</v>
      </c>
      <c r="H171" s="236">
        <f t="shared" si="17"/>
        <v>0</v>
      </c>
      <c r="I171" s="86">
        <f t="shared" si="17"/>
        <v>0</v>
      </c>
    </row>
  </sheetData>
  <mergeCells count="51">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A48:A49"/>
    <mergeCell ref="B48:B49"/>
    <mergeCell ref="C48:C49"/>
    <mergeCell ref="D48:D49"/>
    <mergeCell ref="N1:O1"/>
    <mergeCell ref="B10:B11"/>
    <mergeCell ref="C10:C11"/>
    <mergeCell ref="A12:B19"/>
    <mergeCell ref="C21:C22"/>
    <mergeCell ref="A23:B30"/>
    <mergeCell ref="A34:A35"/>
    <mergeCell ref="B34:B35"/>
    <mergeCell ref="C34:C35"/>
    <mergeCell ref="D34:D35"/>
    <mergeCell ref="A36:B43"/>
  </mergeCells>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topLeftCell="A52" workbookViewId="0">
      <selection activeCell="D144" sqref="D144"/>
    </sheetView>
  </sheetViews>
  <sheetFormatPr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s>
  <sheetData>
    <row r="1" spans="1:18" ht="31.5" x14ac:dyDescent="0.5">
      <c r="A1" s="1" t="s">
        <v>0</v>
      </c>
      <c r="B1" s="1"/>
      <c r="C1" s="1"/>
      <c r="D1" s="1"/>
      <c r="E1" s="1"/>
      <c r="F1" s="1"/>
      <c r="G1" s="1"/>
      <c r="H1" s="1"/>
      <c r="I1" s="1"/>
      <c r="J1" s="1"/>
      <c r="K1" s="1"/>
      <c r="L1" s="1"/>
      <c r="M1" s="1"/>
      <c r="N1" s="1"/>
      <c r="O1" s="1"/>
      <c r="P1" s="1"/>
      <c r="Q1" s="1"/>
      <c r="R1" s="1"/>
    </row>
    <row r="2" spans="1:18" ht="15.75" x14ac:dyDescent="0.25">
      <c r="A2" s="2"/>
      <c r="B2" s="2"/>
      <c r="C2" s="2"/>
      <c r="D2" s="2"/>
      <c r="E2" s="2"/>
      <c r="F2" s="2"/>
      <c r="G2" s="2"/>
      <c r="H2" s="2"/>
      <c r="I2" s="2"/>
      <c r="J2" s="2"/>
      <c r="K2" s="2"/>
      <c r="L2" s="2"/>
      <c r="M2" s="2"/>
      <c r="N2" s="2"/>
      <c r="O2" s="2"/>
      <c r="P2" s="2"/>
      <c r="Q2" s="2"/>
      <c r="R2" s="2"/>
    </row>
    <row r="3" spans="1:18" ht="15.75" x14ac:dyDescent="0.25">
      <c r="A3" s="3" t="s">
        <v>1</v>
      </c>
      <c r="B3" s="2"/>
      <c r="C3" s="2"/>
      <c r="D3" s="2"/>
      <c r="E3" s="2"/>
      <c r="F3" s="2"/>
      <c r="G3" s="2"/>
      <c r="H3" s="2"/>
      <c r="I3" s="2"/>
      <c r="J3" s="2"/>
      <c r="K3" s="2"/>
      <c r="L3" s="2"/>
      <c r="M3" s="2"/>
      <c r="N3" s="2"/>
      <c r="O3" s="2"/>
      <c r="P3" s="2"/>
      <c r="Q3" s="2"/>
      <c r="R3" s="2"/>
    </row>
    <row r="4" spans="1:18" ht="15.75" x14ac:dyDescent="0.25">
      <c r="A4" s="4" t="s">
        <v>315</v>
      </c>
      <c r="B4" s="2"/>
      <c r="C4" s="2"/>
      <c r="D4" s="2"/>
      <c r="E4" s="2"/>
      <c r="F4" s="2"/>
      <c r="G4" s="2"/>
      <c r="H4" s="2"/>
      <c r="I4" s="2"/>
      <c r="J4" s="2"/>
      <c r="K4" s="2"/>
      <c r="L4" s="2"/>
      <c r="M4" s="2"/>
      <c r="N4" s="2"/>
      <c r="O4" s="2"/>
      <c r="P4" s="2"/>
      <c r="Q4" s="2"/>
      <c r="R4" s="2"/>
    </row>
    <row r="5" spans="1:18" ht="15.75" x14ac:dyDescent="0.25">
      <c r="A5" s="239" t="s">
        <v>258</v>
      </c>
      <c r="B5" s="2"/>
      <c r="C5" s="2"/>
      <c r="D5" s="2"/>
      <c r="E5" s="2"/>
      <c r="F5" s="2"/>
      <c r="G5" s="2"/>
      <c r="H5" s="2"/>
      <c r="I5" s="2"/>
      <c r="J5" s="2"/>
      <c r="K5" s="2"/>
      <c r="L5" s="2"/>
      <c r="M5" s="2"/>
      <c r="N5" s="2"/>
      <c r="O5" s="2"/>
      <c r="P5" s="2"/>
      <c r="Q5" s="2"/>
      <c r="R5" s="2"/>
    </row>
    <row r="6" spans="1:18" ht="15.75" x14ac:dyDescent="0.25">
      <c r="A6" s="2"/>
      <c r="B6" s="2"/>
      <c r="C6" s="2"/>
      <c r="D6" s="2"/>
      <c r="E6" s="2"/>
      <c r="F6" s="2"/>
      <c r="G6" s="2"/>
      <c r="H6" s="2"/>
      <c r="I6" s="2"/>
      <c r="J6" s="2"/>
      <c r="K6" s="2"/>
      <c r="L6" s="2"/>
      <c r="M6" s="2"/>
      <c r="N6" s="2"/>
      <c r="O6" s="2"/>
      <c r="P6" s="2"/>
      <c r="Q6" s="2"/>
      <c r="R6" s="2"/>
    </row>
    <row r="8" spans="1:18" ht="21" x14ac:dyDescent="0.35">
      <c r="A8" s="6" t="s">
        <v>4</v>
      </c>
      <c r="B8" s="7"/>
      <c r="C8" s="8"/>
      <c r="D8" s="8"/>
      <c r="E8" s="8"/>
      <c r="F8" s="8"/>
      <c r="G8" s="8"/>
      <c r="H8" s="8"/>
      <c r="I8" s="8"/>
      <c r="J8" s="8"/>
      <c r="K8" s="8"/>
      <c r="L8" s="8"/>
      <c r="M8" s="8"/>
      <c r="N8" s="8"/>
    </row>
    <row r="9" spans="1:18" ht="15.75" thickBot="1" x14ac:dyDescent="0.3">
      <c r="B9" s="10"/>
      <c r="O9" s="11"/>
      <c r="P9" s="11"/>
    </row>
    <row r="10" spans="1:18" ht="18.75" x14ac:dyDescent="0.3">
      <c r="A10" s="12"/>
      <c r="B10" s="530" t="s">
        <v>5</v>
      </c>
      <c r="C10" s="532" t="s">
        <v>6</v>
      </c>
      <c r="D10" s="13"/>
      <c r="E10" s="14"/>
      <c r="F10" s="15" t="s">
        <v>7</v>
      </c>
      <c r="G10" s="16"/>
      <c r="H10" s="17"/>
      <c r="I10" s="18" t="s">
        <v>8</v>
      </c>
      <c r="J10" s="14"/>
      <c r="K10" s="14"/>
      <c r="L10" s="14"/>
      <c r="M10" s="14"/>
      <c r="N10" s="14"/>
      <c r="O10" s="19"/>
      <c r="P10" s="11"/>
      <c r="Q10" s="11"/>
      <c r="R10" s="11"/>
    </row>
    <row r="11" spans="1:18" ht="108"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c r="P11" s="11"/>
      <c r="Q11" s="11"/>
      <c r="R11" s="11"/>
    </row>
    <row r="12" spans="1:18" x14ac:dyDescent="0.25">
      <c r="A12" s="534" t="s">
        <v>316</v>
      </c>
      <c r="B12" s="535"/>
      <c r="C12" s="32">
        <v>2014</v>
      </c>
      <c r="D12" s="33"/>
      <c r="E12" s="34"/>
      <c r="F12" s="34"/>
      <c r="G12" s="35"/>
      <c r="H12" s="36">
        <f>SUM(D12:G12)</f>
        <v>0</v>
      </c>
      <c r="I12" s="37"/>
      <c r="J12" s="34"/>
      <c r="K12" s="34"/>
      <c r="L12" s="34"/>
      <c r="M12" s="34"/>
      <c r="N12" s="34"/>
      <c r="O12" s="38"/>
      <c r="P12" s="11"/>
      <c r="Q12" s="11"/>
    </row>
    <row r="13" spans="1:18" x14ac:dyDescent="0.25">
      <c r="A13" s="534"/>
      <c r="B13" s="535"/>
      <c r="C13" s="32">
        <v>2015</v>
      </c>
      <c r="D13" s="33"/>
      <c r="E13" s="34"/>
      <c r="F13" s="34"/>
      <c r="G13" s="35"/>
      <c r="H13" s="36">
        <f t="shared" ref="H13:H18" si="0">SUM(D13:G13)</f>
        <v>0</v>
      </c>
      <c r="I13" s="37"/>
      <c r="J13" s="34"/>
      <c r="K13" s="34"/>
      <c r="L13" s="34"/>
      <c r="M13" s="34"/>
      <c r="N13" s="34"/>
      <c r="O13" s="38"/>
      <c r="P13" s="11"/>
      <c r="Q13" s="11"/>
    </row>
    <row r="14" spans="1:18" x14ac:dyDescent="0.25">
      <c r="A14" s="534"/>
      <c r="B14" s="535"/>
      <c r="C14" s="32">
        <v>2016</v>
      </c>
      <c r="D14" s="33"/>
      <c r="E14" s="34"/>
      <c r="F14" s="34"/>
      <c r="G14" s="35"/>
      <c r="H14" s="36">
        <f t="shared" si="0"/>
        <v>0</v>
      </c>
      <c r="I14" s="37"/>
      <c r="J14" s="34"/>
      <c r="K14" s="34"/>
      <c r="L14" s="34"/>
      <c r="M14" s="34"/>
      <c r="N14" s="34"/>
      <c r="O14" s="38"/>
      <c r="P14" s="11"/>
      <c r="Q14" s="11"/>
    </row>
    <row r="15" spans="1:18" x14ac:dyDescent="0.25">
      <c r="A15" s="534"/>
      <c r="B15" s="535"/>
      <c r="C15" s="32">
        <v>2017</v>
      </c>
      <c r="D15" s="389"/>
      <c r="E15" s="391"/>
      <c r="F15" s="391"/>
      <c r="G15" s="418"/>
      <c r="H15" s="36">
        <f t="shared" si="0"/>
        <v>0</v>
      </c>
      <c r="I15" s="419"/>
      <c r="J15" s="391"/>
      <c r="K15" s="391"/>
      <c r="L15" s="391"/>
      <c r="M15" s="391"/>
      <c r="N15" s="391"/>
      <c r="O15" s="415"/>
      <c r="P15" s="11"/>
      <c r="Q15" s="11"/>
    </row>
    <row r="16" spans="1:18" x14ac:dyDescent="0.25">
      <c r="A16" s="534"/>
      <c r="B16" s="535"/>
      <c r="C16" s="32">
        <v>2018</v>
      </c>
      <c r="D16" s="33">
        <f>21+2</f>
        <v>23</v>
      </c>
      <c r="E16" s="34"/>
      <c r="F16" s="34">
        <v>2</v>
      </c>
      <c r="G16" s="35">
        <v>27</v>
      </c>
      <c r="H16" s="36">
        <f t="shared" si="0"/>
        <v>52</v>
      </c>
      <c r="I16" s="37">
        <f>H16</f>
        <v>52</v>
      </c>
      <c r="J16" s="34"/>
      <c r="K16" s="34"/>
      <c r="L16" s="34"/>
      <c r="M16" s="34"/>
      <c r="N16" s="34"/>
      <c r="O16" s="38"/>
      <c r="P16" s="11"/>
      <c r="Q16" s="11"/>
    </row>
    <row r="17" spans="1:18" x14ac:dyDescent="0.25">
      <c r="A17" s="534"/>
      <c r="B17" s="535"/>
      <c r="C17" s="32">
        <v>2019</v>
      </c>
      <c r="D17" s="33"/>
      <c r="E17" s="34"/>
      <c r="F17" s="34"/>
      <c r="G17" s="35"/>
      <c r="H17" s="36">
        <f t="shared" si="0"/>
        <v>0</v>
      </c>
      <c r="I17" s="37"/>
      <c r="J17" s="34"/>
      <c r="K17" s="34"/>
      <c r="L17" s="34"/>
      <c r="M17" s="34"/>
      <c r="N17" s="34"/>
      <c r="O17" s="38"/>
      <c r="P17" s="11"/>
      <c r="Q17" s="11"/>
    </row>
    <row r="18" spans="1:18" x14ac:dyDescent="0.25">
      <c r="A18" s="534"/>
      <c r="B18" s="535"/>
      <c r="C18" s="32">
        <v>2020</v>
      </c>
      <c r="D18" s="33"/>
      <c r="E18" s="34"/>
      <c r="F18" s="34"/>
      <c r="G18" s="35"/>
      <c r="H18" s="36">
        <f t="shared" si="0"/>
        <v>0</v>
      </c>
      <c r="I18" s="37"/>
      <c r="J18" s="34"/>
      <c r="K18" s="34"/>
      <c r="L18" s="34"/>
      <c r="M18" s="34"/>
      <c r="N18" s="34"/>
      <c r="O18" s="38"/>
      <c r="P18" s="11"/>
      <c r="Q18" s="11"/>
    </row>
    <row r="19" spans="1:18" ht="15.75" thickBot="1" x14ac:dyDescent="0.3">
      <c r="A19" s="536"/>
      <c r="B19" s="537"/>
      <c r="C19" s="50" t="s">
        <v>14</v>
      </c>
      <c r="D19" s="51">
        <f>SUM(D12:D18)</f>
        <v>23</v>
      </c>
      <c r="E19" s="52">
        <f>SUM(E12:E18)</f>
        <v>0</v>
      </c>
      <c r="F19" s="52">
        <f>SUM(F12:F18)</f>
        <v>2</v>
      </c>
      <c r="G19" s="53"/>
      <c r="H19" s="54">
        <f>SUM(D19:F19)</f>
        <v>25</v>
      </c>
      <c r="I19" s="85">
        <f>SUM(I12:I18)</f>
        <v>52</v>
      </c>
      <c r="J19" s="52"/>
      <c r="K19" s="52">
        <f>SUM(K12:K18)</f>
        <v>0</v>
      </c>
      <c r="L19" s="52">
        <f>SUM(L12:L18)</f>
        <v>0</v>
      </c>
      <c r="M19" s="52">
        <f>SUM(M12:M18)</f>
        <v>0</v>
      </c>
      <c r="N19" s="52">
        <f>SUM(N12:N18)</f>
        <v>0</v>
      </c>
      <c r="O19" s="86">
        <f>SUM(O12:O18)</f>
        <v>0</v>
      </c>
      <c r="P19" s="11"/>
      <c r="Q19" s="11"/>
    </row>
    <row r="20" spans="1:18" ht="15.75" thickBot="1" x14ac:dyDescent="0.3">
      <c r="B20" s="10"/>
      <c r="D20" s="58"/>
      <c r="O20" s="11"/>
      <c r="P20" s="11"/>
    </row>
    <row r="21" spans="1:18" ht="18.75" x14ac:dyDescent="0.3">
      <c r="A21" s="12"/>
      <c r="B21" s="59"/>
      <c r="C21" s="532" t="s">
        <v>6</v>
      </c>
      <c r="D21" s="13"/>
      <c r="E21" s="14"/>
      <c r="F21" s="15" t="s">
        <v>7</v>
      </c>
      <c r="G21" s="16"/>
      <c r="H21" s="17"/>
      <c r="I21" s="11"/>
      <c r="J21" s="11"/>
      <c r="K21" s="11"/>
      <c r="L21" s="11"/>
      <c r="M21" s="11"/>
      <c r="N21" s="11"/>
      <c r="O21" s="11"/>
      <c r="P21" s="11"/>
      <c r="Q21" s="11"/>
      <c r="R21" s="11"/>
    </row>
    <row r="22" spans="1:18" ht="4.5" customHeight="1" x14ac:dyDescent="0.3">
      <c r="A22" s="60" t="s">
        <v>22</v>
      </c>
      <c r="B22" s="404" t="s">
        <v>23</v>
      </c>
      <c r="C22" s="533"/>
      <c r="D22" s="62" t="s">
        <v>10</v>
      </c>
      <c r="E22" s="63" t="s">
        <v>11</v>
      </c>
      <c r="F22" s="63" t="s">
        <v>12</v>
      </c>
      <c r="G22" s="64" t="s">
        <v>13</v>
      </c>
      <c r="H22" s="25" t="s">
        <v>14</v>
      </c>
      <c r="I22" s="11"/>
      <c r="J22" s="11"/>
      <c r="K22" s="11"/>
      <c r="L22" s="11"/>
      <c r="M22" s="11"/>
      <c r="N22" s="11"/>
      <c r="O22" s="11"/>
      <c r="P22" s="11"/>
      <c r="Q22" s="11"/>
      <c r="R22" s="11"/>
    </row>
    <row r="23" spans="1:18" x14ac:dyDescent="0.25">
      <c r="A23" s="534" t="s">
        <v>317</v>
      </c>
      <c r="B23" s="535"/>
      <c r="C23" s="32">
        <v>2014</v>
      </c>
      <c r="D23" s="33"/>
      <c r="E23" s="34"/>
      <c r="F23" s="34"/>
      <c r="G23" s="35"/>
      <c r="H23" s="36">
        <f>SUM(D23:G23)</f>
        <v>0</v>
      </c>
    </row>
    <row r="24" spans="1:18" x14ac:dyDescent="0.25">
      <c r="A24" s="534"/>
      <c r="B24" s="535"/>
      <c r="C24" s="32">
        <v>2015</v>
      </c>
      <c r="D24" s="33"/>
      <c r="E24" s="34"/>
      <c r="F24" s="34"/>
      <c r="G24" s="35"/>
      <c r="H24" s="36">
        <f t="shared" ref="H24:H29" si="1">SUM(D24:G24)</f>
        <v>0</v>
      </c>
    </row>
    <row r="25" spans="1:18" x14ac:dyDescent="0.25">
      <c r="A25" s="534"/>
      <c r="B25" s="535"/>
      <c r="C25" s="32">
        <v>2016</v>
      </c>
      <c r="D25" s="33"/>
      <c r="E25" s="34"/>
      <c r="F25" s="34"/>
      <c r="G25" s="35"/>
      <c r="H25" s="36">
        <f t="shared" si="1"/>
        <v>0</v>
      </c>
    </row>
    <row r="26" spans="1:18" x14ac:dyDescent="0.25">
      <c r="A26" s="534"/>
      <c r="B26" s="535"/>
      <c r="C26" s="32">
        <v>2017</v>
      </c>
      <c r="D26" s="389"/>
      <c r="E26" s="391"/>
      <c r="F26" s="391"/>
      <c r="G26" s="418"/>
      <c r="H26" s="36">
        <f t="shared" si="1"/>
        <v>0</v>
      </c>
    </row>
    <row r="27" spans="1:18" x14ac:dyDescent="0.25">
      <c r="A27" s="534"/>
      <c r="B27" s="535"/>
      <c r="C27" s="32">
        <v>2018</v>
      </c>
      <c r="D27" s="33">
        <f>1373+90</f>
        <v>1463</v>
      </c>
      <c r="E27" s="34"/>
      <c r="F27" s="34">
        <v>90</v>
      </c>
      <c r="G27" s="35">
        <v>59500</v>
      </c>
      <c r="H27" s="36">
        <f t="shared" si="1"/>
        <v>61053</v>
      </c>
    </row>
    <row r="28" spans="1:18" x14ac:dyDescent="0.25">
      <c r="A28" s="534"/>
      <c r="B28" s="535"/>
      <c r="C28" s="32">
        <v>2019</v>
      </c>
      <c r="D28" s="33"/>
      <c r="E28" s="34"/>
      <c r="F28" s="34"/>
      <c r="G28" s="35"/>
      <c r="H28" s="36">
        <f t="shared" si="1"/>
        <v>0</v>
      </c>
    </row>
    <row r="29" spans="1:18" x14ac:dyDescent="0.25">
      <c r="A29" s="534"/>
      <c r="B29" s="535"/>
      <c r="C29" s="32">
        <v>2020</v>
      </c>
      <c r="D29" s="33"/>
      <c r="E29" s="34"/>
      <c r="F29" s="34"/>
      <c r="G29" s="35"/>
      <c r="H29" s="36">
        <f t="shared" si="1"/>
        <v>0</v>
      </c>
    </row>
    <row r="30" spans="1:18" ht="15.75" thickBot="1" x14ac:dyDescent="0.3">
      <c r="A30" s="536"/>
      <c r="B30" s="537"/>
      <c r="C30" s="50" t="s">
        <v>14</v>
      </c>
      <c r="D30" s="51">
        <f>SUM(D23:D29)</f>
        <v>1463</v>
      </c>
      <c r="E30" s="52">
        <f>SUM(E23:E29)</f>
        <v>0</v>
      </c>
      <c r="F30" s="52">
        <f>SUM(F23:F29)</f>
        <v>90</v>
      </c>
      <c r="G30" s="52">
        <f>SUM(G23:G29)</f>
        <v>59500</v>
      </c>
      <c r="H30" s="54">
        <f t="shared" ref="H30" si="2">SUM(D30:F30)</f>
        <v>1553</v>
      </c>
    </row>
    <row r="31" spans="1:18" x14ac:dyDescent="0.25">
      <c r="A31" s="65"/>
      <c r="B31" s="66"/>
      <c r="D31" s="58"/>
    </row>
    <row r="32" spans="1:18"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x14ac:dyDescent="0.25">
      <c r="A34" s="552" t="s">
        <v>25</v>
      </c>
      <c r="B34" s="554" t="s">
        <v>26</v>
      </c>
      <c r="C34" s="556" t="s">
        <v>6</v>
      </c>
      <c r="D34" s="538" t="s">
        <v>27</v>
      </c>
      <c r="E34" s="70" t="s">
        <v>28</v>
      </c>
      <c r="F34" s="71"/>
      <c r="G34" s="71"/>
      <c r="H34" s="71"/>
      <c r="I34" s="71"/>
      <c r="J34" s="71"/>
      <c r="K34" s="72"/>
    </row>
    <row r="35" spans="1:13" ht="123" customHeight="1" x14ac:dyDescent="0.25">
      <c r="A35" s="553"/>
      <c r="B35" s="555"/>
      <c r="C35" s="557"/>
      <c r="D35" s="539"/>
      <c r="E35" s="73" t="s">
        <v>15</v>
      </c>
      <c r="F35" s="74" t="s">
        <v>16</v>
      </c>
      <c r="G35" s="74" t="s">
        <v>17</v>
      </c>
      <c r="H35" s="75" t="s">
        <v>18</v>
      </c>
      <c r="I35" s="75" t="s">
        <v>29</v>
      </c>
      <c r="J35" s="76" t="s">
        <v>20</v>
      </c>
      <c r="K35" s="77" t="s">
        <v>21</v>
      </c>
    </row>
    <row r="36" spans="1:13" x14ac:dyDescent="0.25">
      <c r="A36" s="540" t="s">
        <v>318</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420"/>
      <c r="E39" s="419"/>
      <c r="F39" s="391"/>
      <c r="G39" s="391"/>
      <c r="H39" s="391"/>
      <c r="I39" s="391"/>
      <c r="J39" s="391"/>
      <c r="K39" s="415"/>
    </row>
    <row r="40" spans="1:13" x14ac:dyDescent="0.25">
      <c r="A40" s="540"/>
      <c r="B40" s="541"/>
      <c r="C40" s="32">
        <v>2018</v>
      </c>
      <c r="D40" s="353">
        <v>4</v>
      </c>
      <c r="E40" s="421">
        <v>4</v>
      </c>
      <c r="F40" s="34"/>
      <c r="G40" s="34"/>
      <c r="H40" s="34"/>
      <c r="I40" s="34"/>
      <c r="J40" s="34"/>
      <c r="K40" s="38"/>
    </row>
    <row r="41" spans="1:13" x14ac:dyDescent="0.25">
      <c r="A41" s="540"/>
      <c r="B41" s="541"/>
      <c r="C41" s="32">
        <v>2019</v>
      </c>
      <c r="D41" s="78"/>
      <c r="E41" s="37"/>
      <c r="F41" s="34"/>
      <c r="G41" s="34"/>
      <c r="H41" s="34"/>
      <c r="I41" s="34"/>
      <c r="J41" s="34"/>
      <c r="K41" s="38"/>
    </row>
    <row r="42" spans="1:13" x14ac:dyDescent="0.25">
      <c r="A42" s="540"/>
      <c r="B42" s="541"/>
      <c r="C42" s="32">
        <v>2020</v>
      </c>
      <c r="D42" s="78"/>
      <c r="E42" s="37"/>
      <c r="F42" s="34"/>
      <c r="G42" s="34"/>
      <c r="H42" s="34"/>
      <c r="I42" s="34"/>
      <c r="J42" s="34"/>
      <c r="K42" s="38"/>
    </row>
    <row r="43" spans="1:13" ht="15.75" thickBot="1" x14ac:dyDescent="0.3">
      <c r="A43" s="542"/>
      <c r="B43" s="543"/>
      <c r="C43" s="50" t="s">
        <v>14</v>
      </c>
      <c r="D43" s="422">
        <f>SUM(D36:D42)</f>
        <v>4</v>
      </c>
      <c r="E43" s="85">
        <f t="shared" ref="E43:J43" si="3">SUM(E36:E42)</f>
        <v>4</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423"/>
      <c r="M46" s="423"/>
    </row>
    <row r="47" spans="1:13" ht="15.75" thickBot="1" x14ac:dyDescent="0.3">
      <c r="A47" s="91"/>
      <c r="B47" s="92"/>
    </row>
    <row r="48" spans="1:13" x14ac:dyDescent="0.25">
      <c r="A48" s="544" t="s">
        <v>32</v>
      </c>
      <c r="B48" s="546" t="s">
        <v>33</v>
      </c>
      <c r="C48" s="548" t="s">
        <v>6</v>
      </c>
      <c r="D48" s="550" t="s">
        <v>34</v>
      </c>
      <c r="E48" s="93" t="s">
        <v>28</v>
      </c>
      <c r="F48" s="94"/>
      <c r="G48" s="94"/>
      <c r="H48" s="94"/>
      <c r="I48" s="94"/>
      <c r="J48" s="94"/>
      <c r="K48" s="95"/>
    </row>
    <row r="49" spans="1:18" ht="138.75" customHeight="1" x14ac:dyDescent="0.25">
      <c r="A49" s="545"/>
      <c r="B49" s="547"/>
      <c r="C49" s="549"/>
      <c r="D49" s="551"/>
      <c r="E49" s="96" t="s">
        <v>15</v>
      </c>
      <c r="F49" s="97" t="s">
        <v>16</v>
      </c>
      <c r="G49" s="97" t="s">
        <v>17</v>
      </c>
      <c r="H49" s="98" t="s">
        <v>18</v>
      </c>
      <c r="I49" s="98" t="s">
        <v>29</v>
      </c>
      <c r="J49" s="99" t="s">
        <v>20</v>
      </c>
      <c r="K49" s="100" t="s">
        <v>21</v>
      </c>
      <c r="L49" s="11"/>
      <c r="M49" s="11"/>
      <c r="N49" s="11"/>
      <c r="O49" s="11"/>
      <c r="P49" s="11"/>
      <c r="Q49" s="11"/>
      <c r="R49" s="11"/>
    </row>
    <row r="50" spans="1:18" x14ac:dyDescent="0.25">
      <c r="A50" s="534" t="s">
        <v>35</v>
      </c>
      <c r="B50" s="535"/>
      <c r="C50" s="32">
        <v>2014</v>
      </c>
      <c r="D50" s="101"/>
      <c r="E50" s="37"/>
      <c r="F50" s="34"/>
      <c r="G50" s="34"/>
      <c r="H50" s="34"/>
      <c r="I50" s="34"/>
      <c r="J50" s="34"/>
      <c r="K50" s="38"/>
    </row>
    <row r="51" spans="1:18" x14ac:dyDescent="0.25">
      <c r="A51" s="534"/>
      <c r="B51" s="535"/>
      <c r="C51" s="32">
        <v>2015</v>
      </c>
      <c r="D51" s="101"/>
      <c r="E51" s="37"/>
      <c r="F51" s="34"/>
      <c r="G51" s="34"/>
      <c r="H51" s="34"/>
      <c r="I51" s="34"/>
      <c r="J51" s="34"/>
      <c r="K51" s="38"/>
    </row>
    <row r="52" spans="1:18" x14ac:dyDescent="0.25">
      <c r="A52" s="534"/>
      <c r="B52" s="535"/>
      <c r="C52" s="32">
        <v>2016</v>
      </c>
      <c r="D52" s="101"/>
      <c r="E52" s="37"/>
      <c r="F52" s="34"/>
      <c r="G52" s="34"/>
      <c r="H52" s="34"/>
      <c r="I52" s="34"/>
      <c r="J52" s="34"/>
      <c r="K52" s="38"/>
    </row>
    <row r="53" spans="1:18" x14ac:dyDescent="0.25">
      <c r="A53" s="534"/>
      <c r="B53" s="535"/>
      <c r="C53" s="32">
        <v>2017</v>
      </c>
      <c r="D53" s="424"/>
      <c r="E53" s="419"/>
      <c r="F53" s="391"/>
      <c r="G53" s="391"/>
      <c r="H53" s="391"/>
      <c r="I53" s="391"/>
      <c r="J53" s="391"/>
      <c r="K53" s="415"/>
    </row>
    <row r="54" spans="1:18" x14ac:dyDescent="0.25">
      <c r="A54" s="534"/>
      <c r="B54" s="535"/>
      <c r="C54" s="32">
        <v>2018</v>
      </c>
      <c r="D54" s="101"/>
      <c r="E54" s="37"/>
      <c r="F54" s="34"/>
      <c r="G54" s="34"/>
      <c r="H54" s="34"/>
      <c r="I54" s="34"/>
      <c r="J54" s="34"/>
      <c r="K54" s="38"/>
    </row>
    <row r="55" spans="1:18" x14ac:dyDescent="0.25">
      <c r="A55" s="534"/>
      <c r="B55" s="535"/>
      <c r="C55" s="32">
        <v>2019</v>
      </c>
      <c r="D55" s="101"/>
      <c r="E55" s="37"/>
      <c r="F55" s="34"/>
      <c r="G55" s="34"/>
      <c r="H55" s="34"/>
      <c r="I55" s="34"/>
      <c r="J55" s="34"/>
      <c r="K55" s="38"/>
    </row>
    <row r="56" spans="1:18" x14ac:dyDescent="0.25">
      <c r="A56" s="534"/>
      <c r="B56" s="535"/>
      <c r="C56" s="32">
        <v>2020</v>
      </c>
      <c r="D56" s="101"/>
      <c r="E56" s="37"/>
      <c r="F56" s="34"/>
      <c r="G56" s="34"/>
      <c r="H56" s="34"/>
      <c r="I56" s="34"/>
      <c r="J56" s="34"/>
      <c r="K56" s="38"/>
    </row>
    <row r="57" spans="1:18" ht="15.75"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8" x14ac:dyDescent="0.25">
      <c r="B58" s="10"/>
    </row>
    <row r="59" spans="1:18" ht="21" x14ac:dyDescent="0.35">
      <c r="A59" s="104" t="s">
        <v>36</v>
      </c>
      <c r="B59" s="105"/>
      <c r="C59" s="104"/>
      <c r="D59" s="106"/>
      <c r="E59" s="106"/>
      <c r="F59" s="106"/>
      <c r="G59" s="106"/>
      <c r="H59" s="106"/>
      <c r="I59" s="106"/>
      <c r="J59" s="106"/>
      <c r="K59" s="106"/>
      <c r="L59" s="106"/>
      <c r="M59" s="11"/>
    </row>
    <row r="60" spans="1:18" ht="21.75" thickBot="1" x14ac:dyDescent="0.4">
      <c r="A60" s="192"/>
      <c r="B60" s="92"/>
      <c r="M60" s="11"/>
    </row>
    <row r="61" spans="1:18" x14ac:dyDescent="0.25">
      <c r="A61" s="558" t="s">
        <v>37</v>
      </c>
      <c r="B61" s="560" t="s">
        <v>38</v>
      </c>
      <c r="C61" s="562" t="s">
        <v>6</v>
      </c>
      <c r="D61" s="109"/>
      <c r="E61" s="110"/>
      <c r="F61" s="111" t="s">
        <v>39</v>
      </c>
      <c r="G61" s="112"/>
      <c r="H61" s="112"/>
      <c r="I61" s="112"/>
      <c r="J61" s="112"/>
      <c r="K61" s="112"/>
      <c r="L61" s="113"/>
      <c r="M61" s="11"/>
      <c r="N61" s="425"/>
      <c r="O61" s="11"/>
      <c r="P61" s="11"/>
      <c r="Q61" s="11"/>
      <c r="R61" s="11"/>
    </row>
    <row r="62" spans="1:18" ht="120" customHeight="1" x14ac:dyDescent="0.25">
      <c r="A62" s="559"/>
      <c r="B62" s="561"/>
      <c r="C62" s="563"/>
      <c r="D62" s="115" t="s">
        <v>40</v>
      </c>
      <c r="E62" s="116" t="s">
        <v>41</v>
      </c>
      <c r="F62" s="117" t="s">
        <v>15</v>
      </c>
      <c r="G62" s="118" t="s">
        <v>16</v>
      </c>
      <c r="H62" s="118" t="s">
        <v>17</v>
      </c>
      <c r="I62" s="119" t="s">
        <v>18</v>
      </c>
      <c r="J62" s="119" t="s">
        <v>29</v>
      </c>
      <c r="K62" s="120" t="s">
        <v>20</v>
      </c>
      <c r="L62" s="121" t="s">
        <v>21</v>
      </c>
      <c r="M62" s="11"/>
      <c r="N62" s="11"/>
      <c r="O62" s="11"/>
      <c r="P62" s="11"/>
      <c r="Q62" s="11"/>
      <c r="R62" s="11"/>
    </row>
    <row r="63" spans="1:18" x14ac:dyDescent="0.25">
      <c r="A63" s="534"/>
      <c r="B63" s="535"/>
      <c r="C63" s="32">
        <v>2014</v>
      </c>
      <c r="D63" s="33"/>
      <c r="E63" s="34"/>
      <c r="F63" s="37"/>
      <c r="G63" s="34"/>
      <c r="H63" s="34"/>
      <c r="I63" s="34"/>
      <c r="J63" s="34"/>
      <c r="K63" s="34"/>
      <c r="L63" s="38"/>
      <c r="M63" s="11"/>
    </row>
    <row r="64" spans="1:18" x14ac:dyDescent="0.25">
      <c r="A64" s="534"/>
      <c r="B64" s="535"/>
      <c r="C64" s="32">
        <v>2015</v>
      </c>
      <c r="D64" s="33"/>
      <c r="E64" s="34"/>
      <c r="F64" s="37"/>
      <c r="G64" s="34"/>
      <c r="H64" s="34"/>
      <c r="I64" s="34"/>
      <c r="J64" s="34"/>
      <c r="K64" s="34"/>
      <c r="L64" s="38"/>
      <c r="M64" s="11"/>
    </row>
    <row r="65" spans="1:18" x14ac:dyDescent="0.25">
      <c r="A65" s="534"/>
      <c r="B65" s="535"/>
      <c r="C65" s="32">
        <v>2016</v>
      </c>
      <c r="D65" s="33"/>
      <c r="E65" s="34"/>
      <c r="F65" s="37"/>
      <c r="G65" s="34"/>
      <c r="H65" s="34"/>
      <c r="I65" s="34"/>
      <c r="J65" s="34"/>
      <c r="K65" s="34"/>
      <c r="L65" s="38"/>
      <c r="M65" s="11"/>
    </row>
    <row r="66" spans="1:18" x14ac:dyDescent="0.25">
      <c r="A66" s="534"/>
      <c r="B66" s="535"/>
      <c r="C66" s="32">
        <v>2017</v>
      </c>
      <c r="D66" s="389"/>
      <c r="E66" s="391"/>
      <c r="F66" s="419"/>
      <c r="G66" s="391"/>
      <c r="H66" s="391"/>
      <c r="I66" s="391"/>
      <c r="J66" s="391"/>
      <c r="K66" s="391"/>
      <c r="L66" s="415"/>
      <c r="M66" s="11"/>
    </row>
    <row r="67" spans="1:18" x14ac:dyDescent="0.25">
      <c r="A67" s="534"/>
      <c r="B67" s="535"/>
      <c r="C67" s="32">
        <v>2018</v>
      </c>
      <c r="D67" s="33"/>
      <c r="E67" s="34"/>
      <c r="F67" s="37"/>
      <c r="G67" s="34"/>
      <c r="H67" s="34"/>
      <c r="I67" s="34"/>
      <c r="J67" s="34"/>
      <c r="K67" s="34"/>
      <c r="L67" s="38"/>
      <c r="M67" s="11"/>
    </row>
    <row r="68" spans="1:18" x14ac:dyDescent="0.25">
      <c r="A68" s="534"/>
      <c r="B68" s="535"/>
      <c r="C68" s="32">
        <v>2019</v>
      </c>
      <c r="D68" s="33"/>
      <c r="E68" s="34"/>
      <c r="F68" s="37"/>
      <c r="G68" s="34"/>
      <c r="H68" s="34"/>
      <c r="I68" s="34"/>
      <c r="J68" s="34"/>
      <c r="K68" s="34"/>
      <c r="L68" s="38"/>
      <c r="M68" s="11"/>
    </row>
    <row r="69" spans="1:18" x14ac:dyDescent="0.25">
      <c r="A69" s="534"/>
      <c r="B69" s="535"/>
      <c r="C69" s="32">
        <v>2020</v>
      </c>
      <c r="D69" s="33"/>
      <c r="E69" s="34"/>
      <c r="F69" s="37"/>
      <c r="G69" s="34"/>
      <c r="H69" s="34"/>
      <c r="I69" s="34"/>
      <c r="J69" s="34"/>
      <c r="K69" s="34"/>
      <c r="L69" s="38"/>
      <c r="M69" s="11"/>
    </row>
    <row r="70" spans="1:18" ht="15.75" thickBot="1" x14ac:dyDescent="0.3">
      <c r="A70" s="536"/>
      <c r="B70" s="537"/>
      <c r="C70" s="50" t="s">
        <v>14</v>
      </c>
      <c r="D70" s="51">
        <f t="shared" ref="D70:K70" si="5">SUM(D63:D69)</f>
        <v>0</v>
      </c>
      <c r="E70" s="52">
        <f t="shared" si="5"/>
        <v>0</v>
      </c>
      <c r="F70" s="85">
        <f t="shared" si="5"/>
        <v>0</v>
      </c>
      <c r="G70" s="52">
        <f t="shared" si="5"/>
        <v>0</v>
      </c>
      <c r="H70" s="52">
        <f t="shared" si="5"/>
        <v>0</v>
      </c>
      <c r="I70" s="52">
        <f t="shared" si="5"/>
        <v>0</v>
      </c>
      <c r="J70" s="52">
        <f t="shared" si="5"/>
        <v>0</v>
      </c>
      <c r="K70" s="52">
        <f t="shared" si="5"/>
        <v>0</v>
      </c>
      <c r="L70" s="86">
        <f>SUM(L63:L69)</f>
        <v>0</v>
      </c>
      <c r="M70" s="11"/>
    </row>
    <row r="71" spans="1:18" ht="15.75" thickBot="1" x14ac:dyDescent="0.3">
      <c r="A71" s="426"/>
      <c r="B71" s="427"/>
      <c r="D71" s="58"/>
    </row>
    <row r="72" spans="1:18" x14ac:dyDescent="0.25">
      <c r="A72" s="558" t="s">
        <v>42</v>
      </c>
      <c r="B72" s="560" t="s">
        <v>43</v>
      </c>
      <c r="C72" s="562" t="s">
        <v>6</v>
      </c>
      <c r="D72" s="564" t="s">
        <v>44</v>
      </c>
      <c r="E72" s="111" t="s">
        <v>45</v>
      </c>
      <c r="F72" s="112"/>
      <c r="G72" s="112"/>
      <c r="H72" s="112"/>
      <c r="I72" s="112"/>
      <c r="J72" s="112"/>
      <c r="K72" s="113"/>
      <c r="M72" s="425"/>
      <c r="N72" s="11"/>
      <c r="O72" s="11"/>
      <c r="P72" s="11"/>
      <c r="Q72" s="11"/>
      <c r="R72" s="11"/>
    </row>
    <row r="73" spans="1:18" ht="97.5" customHeight="1" x14ac:dyDescent="0.25">
      <c r="A73" s="559"/>
      <c r="B73" s="561"/>
      <c r="C73" s="563"/>
      <c r="D73" s="565"/>
      <c r="E73" s="117" t="s">
        <v>15</v>
      </c>
      <c r="F73" s="136" t="s">
        <v>16</v>
      </c>
      <c r="G73" s="118" t="s">
        <v>17</v>
      </c>
      <c r="H73" s="119" t="s">
        <v>18</v>
      </c>
      <c r="I73" s="119" t="s">
        <v>29</v>
      </c>
      <c r="J73" s="120" t="s">
        <v>20</v>
      </c>
      <c r="K73" s="121" t="s">
        <v>21</v>
      </c>
      <c r="M73" s="11"/>
      <c r="N73" s="11"/>
      <c r="O73" s="11"/>
      <c r="P73" s="11"/>
      <c r="Q73" s="11"/>
      <c r="R73" s="11"/>
    </row>
    <row r="74" spans="1:18" x14ac:dyDescent="0.25">
      <c r="A74" s="534" t="s">
        <v>319</v>
      </c>
      <c r="B74" s="535"/>
      <c r="C74" s="32">
        <v>2014</v>
      </c>
      <c r="D74" s="34"/>
      <c r="E74" s="37"/>
      <c r="F74" s="34"/>
      <c r="G74" s="34"/>
      <c r="H74" s="34"/>
      <c r="I74" s="34"/>
      <c r="J74" s="34"/>
      <c r="K74" s="38"/>
    </row>
    <row r="75" spans="1:18" x14ac:dyDescent="0.25">
      <c r="A75" s="534"/>
      <c r="B75" s="535"/>
      <c r="C75" s="32">
        <v>2015</v>
      </c>
      <c r="D75" s="34"/>
      <c r="E75" s="37"/>
      <c r="F75" s="34"/>
      <c r="G75" s="34"/>
      <c r="H75" s="34"/>
      <c r="I75" s="34"/>
      <c r="J75" s="34"/>
      <c r="K75" s="38"/>
    </row>
    <row r="76" spans="1:18" x14ac:dyDescent="0.25">
      <c r="A76" s="534"/>
      <c r="B76" s="535"/>
      <c r="C76" s="32">
        <v>2016</v>
      </c>
      <c r="D76" s="34"/>
      <c r="E76" s="37"/>
      <c r="F76" s="34"/>
      <c r="G76" s="34"/>
      <c r="H76" s="34"/>
      <c r="I76" s="34"/>
      <c r="J76" s="34"/>
      <c r="K76" s="38"/>
    </row>
    <row r="77" spans="1:18" x14ac:dyDescent="0.25">
      <c r="A77" s="534"/>
      <c r="B77" s="535"/>
      <c r="C77" s="32">
        <v>2017</v>
      </c>
      <c r="D77" s="391"/>
      <c r="E77" s="419"/>
      <c r="F77" s="391"/>
      <c r="G77" s="391"/>
      <c r="H77" s="391"/>
      <c r="I77" s="391"/>
      <c r="J77" s="391"/>
      <c r="K77" s="415"/>
    </row>
    <row r="78" spans="1:18" x14ac:dyDescent="0.25">
      <c r="A78" s="534"/>
      <c r="B78" s="535"/>
      <c r="C78" s="32">
        <v>2018</v>
      </c>
      <c r="D78" s="34">
        <v>28</v>
      </c>
      <c r="E78" s="37"/>
      <c r="F78" s="34"/>
      <c r="G78" s="34"/>
      <c r="H78" s="34"/>
      <c r="I78" s="34"/>
      <c r="J78" s="34"/>
      <c r="K78" s="38">
        <v>28</v>
      </c>
    </row>
    <row r="79" spans="1:18" x14ac:dyDescent="0.25">
      <c r="A79" s="534"/>
      <c r="B79" s="535"/>
      <c r="C79" s="32">
        <v>2019</v>
      </c>
      <c r="D79" s="34"/>
      <c r="E79" s="37"/>
      <c r="F79" s="34"/>
      <c r="G79" s="34"/>
      <c r="H79" s="34"/>
      <c r="I79" s="34"/>
      <c r="J79" s="34"/>
      <c r="K79" s="38"/>
    </row>
    <row r="80" spans="1:18" x14ac:dyDescent="0.25">
      <c r="A80" s="534"/>
      <c r="B80" s="535"/>
      <c r="C80" s="32">
        <v>2020</v>
      </c>
      <c r="D80" s="34"/>
      <c r="E80" s="37"/>
      <c r="F80" s="34"/>
      <c r="G80" s="34"/>
      <c r="H80" s="34"/>
      <c r="I80" s="34"/>
      <c r="J80" s="34"/>
      <c r="K80" s="38"/>
    </row>
    <row r="81" spans="1:18" ht="15.75" thickBot="1" x14ac:dyDescent="0.3">
      <c r="A81" s="536"/>
      <c r="B81" s="537"/>
      <c r="C81" s="50" t="s">
        <v>14</v>
      </c>
      <c r="D81" s="52">
        <f t="shared" ref="D81:J81" si="6">SUM(D74:D80)</f>
        <v>28</v>
      </c>
      <c r="E81" s="85">
        <f t="shared" si="6"/>
        <v>0</v>
      </c>
      <c r="F81" s="52">
        <f t="shared" si="6"/>
        <v>0</v>
      </c>
      <c r="G81" s="52">
        <f t="shared" si="6"/>
        <v>0</v>
      </c>
      <c r="H81" s="52">
        <f t="shared" si="6"/>
        <v>0</v>
      </c>
      <c r="I81" s="52">
        <f t="shared" si="6"/>
        <v>0</v>
      </c>
      <c r="J81" s="52">
        <f t="shared" si="6"/>
        <v>0</v>
      </c>
      <c r="K81" s="86">
        <f>SUM(K74:K80)</f>
        <v>28</v>
      </c>
    </row>
    <row r="82" spans="1:18" ht="21.75" thickBot="1" x14ac:dyDescent="0.4">
      <c r="A82" s="192"/>
      <c r="B82" s="92"/>
    </row>
    <row r="83" spans="1:18" x14ac:dyDescent="0.25">
      <c r="A83" s="558" t="s">
        <v>46</v>
      </c>
      <c r="B83" s="560" t="s">
        <v>43</v>
      </c>
      <c r="C83" s="562" t="s">
        <v>6</v>
      </c>
      <c r="D83" s="566" t="s">
        <v>47</v>
      </c>
      <c r="E83" s="111" t="s">
        <v>48</v>
      </c>
      <c r="F83" s="112"/>
      <c r="G83" s="112"/>
      <c r="H83" s="112"/>
      <c r="I83" s="112"/>
      <c r="J83" s="112"/>
      <c r="K83" s="113"/>
      <c r="L83" s="11"/>
    </row>
    <row r="84" spans="1:18" ht="90" x14ac:dyDescent="0.25">
      <c r="A84" s="559"/>
      <c r="B84" s="561"/>
      <c r="C84" s="563"/>
      <c r="D84" s="567"/>
      <c r="E84" s="117" t="s">
        <v>15</v>
      </c>
      <c r="F84" s="118" t="s">
        <v>16</v>
      </c>
      <c r="G84" s="118" t="s">
        <v>17</v>
      </c>
      <c r="H84" s="119" t="s">
        <v>18</v>
      </c>
      <c r="I84" s="119" t="s">
        <v>29</v>
      </c>
      <c r="J84" s="120" t="s">
        <v>20</v>
      </c>
      <c r="K84" s="121" t="s">
        <v>21</v>
      </c>
      <c r="M84" s="11"/>
      <c r="N84" s="11"/>
      <c r="O84" s="11"/>
      <c r="P84" s="11"/>
      <c r="Q84" s="11"/>
      <c r="R84" s="11"/>
    </row>
    <row r="85" spans="1:18" x14ac:dyDescent="0.25">
      <c r="A85" s="534" t="s">
        <v>35</v>
      </c>
      <c r="B85" s="535"/>
      <c r="C85" s="32">
        <v>2014</v>
      </c>
      <c r="D85" s="34"/>
      <c r="E85" s="37"/>
      <c r="F85" s="34"/>
      <c r="G85" s="34"/>
      <c r="H85" s="34"/>
      <c r="I85" s="34"/>
      <c r="J85" s="34"/>
      <c r="K85" s="38"/>
      <c r="M85" s="11"/>
      <c r="N85" s="11"/>
      <c r="O85" s="11"/>
      <c r="P85" s="11"/>
      <c r="Q85" s="11"/>
      <c r="R85" s="11"/>
    </row>
    <row r="86" spans="1:18" x14ac:dyDescent="0.25">
      <c r="A86" s="534"/>
      <c r="B86" s="535"/>
      <c r="C86" s="32">
        <v>2015</v>
      </c>
      <c r="D86" s="34"/>
      <c r="E86" s="37"/>
      <c r="F86" s="34"/>
      <c r="G86" s="34"/>
      <c r="H86" s="34"/>
      <c r="I86" s="34"/>
      <c r="J86" s="34"/>
      <c r="K86" s="38"/>
    </row>
    <row r="87" spans="1:18" x14ac:dyDescent="0.25">
      <c r="A87" s="534"/>
      <c r="B87" s="535"/>
      <c r="C87" s="32">
        <v>2016</v>
      </c>
      <c r="D87" s="34"/>
      <c r="E87" s="37"/>
      <c r="F87" s="34"/>
      <c r="G87" s="34"/>
      <c r="H87" s="34"/>
      <c r="I87" s="34"/>
      <c r="J87" s="34"/>
      <c r="K87" s="38"/>
    </row>
    <row r="88" spans="1:18" x14ac:dyDescent="0.25">
      <c r="A88" s="534"/>
      <c r="B88" s="535"/>
      <c r="C88" s="32">
        <v>2017</v>
      </c>
      <c r="D88" s="391"/>
      <c r="E88" s="419"/>
      <c r="F88" s="391"/>
      <c r="G88" s="391"/>
      <c r="H88" s="391"/>
      <c r="I88" s="391"/>
      <c r="J88" s="391"/>
      <c r="K88" s="415"/>
    </row>
    <row r="89" spans="1:18" x14ac:dyDescent="0.25">
      <c r="A89" s="534"/>
      <c r="B89" s="535"/>
      <c r="C89" s="32">
        <v>2018</v>
      </c>
      <c r="D89" s="34"/>
      <c r="E89" s="37"/>
      <c r="F89" s="34"/>
      <c r="G89" s="34"/>
      <c r="H89" s="34"/>
      <c r="I89" s="34"/>
      <c r="J89" s="34"/>
      <c r="K89" s="38"/>
      <c r="L89" s="11"/>
    </row>
    <row r="90" spans="1:18" x14ac:dyDescent="0.25">
      <c r="A90" s="534"/>
      <c r="B90" s="535"/>
      <c r="C90" s="32">
        <v>2019</v>
      </c>
      <c r="D90" s="34"/>
      <c r="E90" s="37"/>
      <c r="F90" s="34"/>
      <c r="G90" s="34"/>
      <c r="H90" s="34"/>
      <c r="I90" s="34"/>
      <c r="J90" s="34"/>
      <c r="K90" s="38"/>
    </row>
    <row r="91" spans="1:18" x14ac:dyDescent="0.25">
      <c r="A91" s="534"/>
      <c r="B91" s="535"/>
      <c r="C91" s="32">
        <v>2020</v>
      </c>
      <c r="D91" s="34"/>
      <c r="E91" s="37"/>
      <c r="F91" s="34"/>
      <c r="G91" s="34"/>
      <c r="H91" s="34"/>
      <c r="I91" s="34"/>
      <c r="J91" s="34"/>
      <c r="K91" s="38"/>
    </row>
    <row r="92" spans="1:18" ht="15.75" thickBot="1" x14ac:dyDescent="0.3">
      <c r="A92" s="536"/>
      <c r="B92" s="537"/>
      <c r="C92" s="50" t="s">
        <v>14</v>
      </c>
      <c r="D92" s="52">
        <f t="shared" ref="D92:J92" si="7">SUM(D85:D91)</f>
        <v>0</v>
      </c>
      <c r="E92" s="85">
        <f t="shared" si="7"/>
        <v>0</v>
      </c>
      <c r="F92" s="52">
        <f t="shared" si="7"/>
        <v>0</v>
      </c>
      <c r="G92" s="52">
        <f t="shared" si="7"/>
        <v>0</v>
      </c>
      <c r="H92" s="52">
        <f t="shared" si="7"/>
        <v>0</v>
      </c>
      <c r="I92" s="52">
        <f t="shared" si="7"/>
        <v>0</v>
      </c>
      <c r="J92" s="52">
        <f t="shared" si="7"/>
        <v>0</v>
      </c>
      <c r="K92" s="86">
        <f>SUM(K85:K91)</f>
        <v>0</v>
      </c>
    </row>
    <row r="93" spans="1:18" ht="21.75" thickBot="1" x14ac:dyDescent="0.4">
      <c r="A93" s="192"/>
      <c r="B93" s="92"/>
    </row>
    <row r="94" spans="1:18" x14ac:dyDescent="0.25">
      <c r="A94" s="568" t="s">
        <v>49</v>
      </c>
      <c r="B94" s="560" t="s">
        <v>50</v>
      </c>
      <c r="C94" s="405" t="s">
        <v>6</v>
      </c>
      <c r="D94" s="139" t="s">
        <v>51</v>
      </c>
      <c r="E94" s="140"/>
      <c r="F94" s="140"/>
      <c r="G94" s="141"/>
      <c r="H94" s="11"/>
      <c r="I94" s="11"/>
      <c r="J94" s="11"/>
      <c r="K94" s="11"/>
    </row>
    <row r="95" spans="1:18" ht="64.5" x14ac:dyDescent="0.25">
      <c r="A95" s="559"/>
      <c r="B95" s="561"/>
      <c r="C95" s="406"/>
      <c r="D95" s="115" t="s">
        <v>52</v>
      </c>
      <c r="E95" s="116" t="s">
        <v>53</v>
      </c>
      <c r="F95" s="116" t="s">
        <v>54</v>
      </c>
      <c r="G95" s="143" t="s">
        <v>14</v>
      </c>
      <c r="H95" s="11"/>
      <c r="I95" s="11"/>
      <c r="J95" s="11"/>
      <c r="K95" s="11"/>
      <c r="L95" s="11"/>
      <c r="M95" s="11"/>
      <c r="N95" s="11"/>
    </row>
    <row r="96" spans="1:18" x14ac:dyDescent="0.25">
      <c r="A96" s="534" t="s">
        <v>35</v>
      </c>
      <c r="B96" s="535"/>
      <c r="C96" s="32">
        <v>2015</v>
      </c>
      <c r="D96" s="33"/>
      <c r="E96" s="34"/>
      <c r="F96" s="34"/>
      <c r="G96" s="36">
        <f t="shared" ref="G96:G101" si="8">SUM(D96:F96)</f>
        <v>0</v>
      </c>
      <c r="L96" s="11"/>
      <c r="M96" s="11"/>
      <c r="N96" s="11"/>
      <c r="O96" s="11"/>
      <c r="P96" s="11"/>
      <c r="Q96" s="11"/>
      <c r="R96" s="11"/>
    </row>
    <row r="97" spans="1:18" x14ac:dyDescent="0.25">
      <c r="A97" s="534"/>
      <c r="B97" s="535"/>
      <c r="C97" s="32">
        <v>2016</v>
      </c>
      <c r="D97" s="33"/>
      <c r="E97" s="34"/>
      <c r="F97" s="34"/>
      <c r="G97" s="36">
        <f t="shared" si="8"/>
        <v>0</v>
      </c>
      <c r="O97" s="11"/>
      <c r="P97" s="11"/>
      <c r="Q97" s="11"/>
      <c r="R97" s="11"/>
    </row>
    <row r="98" spans="1:18" x14ac:dyDescent="0.25">
      <c r="A98" s="534"/>
      <c r="B98" s="535"/>
      <c r="C98" s="32">
        <v>2017</v>
      </c>
      <c r="D98" s="389"/>
      <c r="E98" s="391"/>
      <c r="F98" s="391"/>
      <c r="G98" s="36">
        <f t="shared" si="8"/>
        <v>0</v>
      </c>
    </row>
    <row r="99" spans="1:18" x14ac:dyDescent="0.25">
      <c r="A99" s="534"/>
      <c r="B99" s="535"/>
      <c r="C99" s="32">
        <v>2018</v>
      </c>
      <c r="D99" s="33"/>
      <c r="E99" s="34"/>
      <c r="F99" s="34"/>
      <c r="G99" s="36">
        <f t="shared" si="8"/>
        <v>0</v>
      </c>
    </row>
    <row r="100" spans="1:18" x14ac:dyDescent="0.25">
      <c r="A100" s="534"/>
      <c r="B100" s="535"/>
      <c r="C100" s="32">
        <v>2019</v>
      </c>
      <c r="D100" s="33"/>
      <c r="E100" s="34"/>
      <c r="F100" s="34"/>
      <c r="G100" s="36">
        <f t="shared" si="8"/>
        <v>0</v>
      </c>
    </row>
    <row r="101" spans="1:18" x14ac:dyDescent="0.25">
      <c r="A101" s="534"/>
      <c r="B101" s="535"/>
      <c r="C101" s="32">
        <v>2020</v>
      </c>
      <c r="D101" s="33"/>
      <c r="E101" s="34"/>
      <c r="F101" s="34"/>
      <c r="G101" s="36">
        <f t="shared" si="8"/>
        <v>0</v>
      </c>
    </row>
    <row r="102" spans="1:18" ht="15.75" thickBot="1" x14ac:dyDescent="0.3">
      <c r="A102" s="536"/>
      <c r="B102" s="537"/>
      <c r="C102" s="50" t="s">
        <v>14</v>
      </c>
      <c r="D102" s="51">
        <f>SUM(D95:D101)</f>
        <v>0</v>
      </c>
      <c r="E102" s="52">
        <f>SUM(E95:E101)</f>
        <v>0</v>
      </c>
      <c r="F102" s="52">
        <f>SUM(F95:F101)</f>
        <v>0</v>
      </c>
      <c r="G102" s="145">
        <f>SUM(G95:G101)</f>
        <v>0</v>
      </c>
    </row>
    <row r="103" spans="1:18" x14ac:dyDescent="0.25">
      <c r="A103" s="427"/>
      <c r="B103" s="428"/>
      <c r="C103" s="58"/>
      <c r="D103" s="58"/>
      <c r="J103" s="91"/>
    </row>
    <row r="104" spans="1:18" ht="21" x14ac:dyDescent="0.35">
      <c r="A104" s="151" t="s">
        <v>55</v>
      </c>
      <c r="B104" s="152"/>
      <c r="C104" s="151"/>
      <c r="D104" s="153"/>
      <c r="E104" s="153"/>
      <c r="F104" s="153"/>
      <c r="G104" s="153"/>
      <c r="H104" s="153"/>
      <c r="I104" s="153"/>
      <c r="J104" s="153"/>
      <c r="K104" s="153"/>
      <c r="L104" s="153"/>
    </row>
    <row r="105" spans="1:18" ht="15.75" thickBot="1" x14ac:dyDescent="0.3">
      <c r="B105" s="10"/>
    </row>
    <row r="106" spans="1:18" x14ac:dyDescent="0.25">
      <c r="A106" s="569" t="s">
        <v>56</v>
      </c>
      <c r="B106" s="571" t="s">
        <v>57</v>
      </c>
      <c r="C106" s="573" t="s">
        <v>6</v>
      </c>
      <c r="D106" s="154" t="s">
        <v>58</v>
      </c>
      <c r="E106" s="154"/>
      <c r="F106" s="155"/>
      <c r="G106" s="155"/>
      <c r="H106" s="156" t="s">
        <v>59</v>
      </c>
      <c r="I106" s="154"/>
      <c r="J106" s="157"/>
      <c r="K106" s="11"/>
      <c r="L106" s="11"/>
      <c r="M106" s="11"/>
      <c r="N106" s="11"/>
      <c r="O106" s="11"/>
      <c r="P106" s="11"/>
      <c r="Q106" s="11"/>
      <c r="R106" s="11"/>
    </row>
    <row r="107" spans="1:18" ht="77.25" x14ac:dyDescent="0.25">
      <c r="A107" s="570"/>
      <c r="B107" s="572"/>
      <c r="C107" s="574"/>
      <c r="D107" s="158" t="s">
        <v>60</v>
      </c>
      <c r="E107" s="159" t="s">
        <v>61</v>
      </c>
      <c r="F107" s="160" t="s">
        <v>62</v>
      </c>
      <c r="G107" s="161" t="s">
        <v>63</v>
      </c>
      <c r="H107" s="158" t="s">
        <v>64</v>
      </c>
      <c r="I107" s="159" t="s">
        <v>65</v>
      </c>
      <c r="J107" s="162" t="s">
        <v>66</v>
      </c>
      <c r="K107" s="11"/>
      <c r="L107" s="11"/>
      <c r="M107" s="11"/>
      <c r="N107" s="11"/>
      <c r="O107" s="11"/>
      <c r="P107" s="11"/>
      <c r="Q107" s="11"/>
      <c r="R107" s="11"/>
    </row>
    <row r="108" spans="1:18" x14ac:dyDescent="0.25">
      <c r="A108" s="534" t="s">
        <v>35</v>
      </c>
      <c r="B108" s="535"/>
      <c r="C108" s="163">
        <v>2014</v>
      </c>
      <c r="D108" s="33"/>
      <c r="E108" s="34"/>
      <c r="F108" s="204"/>
      <c r="G108" s="203">
        <f>SUM(D108:F108)</f>
        <v>0</v>
      </c>
      <c r="H108" s="33"/>
      <c r="I108" s="34"/>
      <c r="J108" s="38"/>
    </row>
    <row r="109" spans="1:18" x14ac:dyDescent="0.25">
      <c r="A109" s="534"/>
      <c r="B109" s="535"/>
      <c r="C109" s="163">
        <v>2015</v>
      </c>
      <c r="D109" s="33"/>
      <c r="E109" s="34"/>
      <c r="F109" s="204"/>
      <c r="G109" s="203">
        <f t="shared" ref="G109:G114" si="9">SUM(D109:F109)</f>
        <v>0</v>
      </c>
      <c r="H109" s="33"/>
      <c r="I109" s="34"/>
      <c r="J109" s="38"/>
    </row>
    <row r="110" spans="1:18" x14ac:dyDescent="0.25">
      <c r="A110" s="534"/>
      <c r="B110" s="535"/>
      <c r="C110" s="163">
        <v>2016</v>
      </c>
      <c r="D110" s="33"/>
      <c r="E110" s="34"/>
      <c r="F110" s="204"/>
      <c r="G110" s="203">
        <f t="shared" si="9"/>
        <v>0</v>
      </c>
      <c r="H110" s="33"/>
      <c r="I110" s="34"/>
      <c r="J110" s="38"/>
    </row>
    <row r="111" spans="1:18" x14ac:dyDescent="0.25">
      <c r="A111" s="534"/>
      <c r="B111" s="535"/>
      <c r="C111" s="163">
        <v>2017</v>
      </c>
      <c r="D111" s="389"/>
      <c r="E111" s="391"/>
      <c r="F111" s="429"/>
      <c r="G111" s="203">
        <f t="shared" si="9"/>
        <v>0</v>
      </c>
      <c r="H111" s="430"/>
      <c r="I111" s="431"/>
      <c r="J111" s="432"/>
    </row>
    <row r="112" spans="1:18" x14ac:dyDescent="0.25">
      <c r="A112" s="534"/>
      <c r="B112" s="535"/>
      <c r="C112" s="163">
        <v>2018</v>
      </c>
      <c r="D112" s="33"/>
      <c r="E112" s="34"/>
      <c r="F112" s="204"/>
      <c r="G112" s="203">
        <f t="shared" si="9"/>
        <v>0</v>
      </c>
      <c r="H112" s="33"/>
      <c r="I112" s="34"/>
      <c r="J112" s="38"/>
    </row>
    <row r="113" spans="1:18" x14ac:dyDescent="0.25">
      <c r="A113" s="534"/>
      <c r="B113" s="535"/>
      <c r="C113" s="163">
        <v>2019</v>
      </c>
      <c r="D113" s="33"/>
      <c r="E113" s="34"/>
      <c r="F113" s="204"/>
      <c r="G113" s="203">
        <f t="shared" si="9"/>
        <v>0</v>
      </c>
      <c r="H113" s="33"/>
      <c r="I113" s="34"/>
      <c r="J113" s="38"/>
    </row>
    <row r="114" spans="1:18" x14ac:dyDescent="0.25">
      <c r="A114" s="534"/>
      <c r="B114" s="535"/>
      <c r="C114" s="163">
        <v>2020</v>
      </c>
      <c r="D114" s="33"/>
      <c r="E114" s="34"/>
      <c r="F114" s="204"/>
      <c r="G114" s="203">
        <f t="shared" si="9"/>
        <v>0</v>
      </c>
      <c r="H114" s="33"/>
      <c r="I114" s="34"/>
      <c r="J114" s="38"/>
    </row>
    <row r="115" spans="1:18" ht="15.75" thickBot="1" x14ac:dyDescent="0.3">
      <c r="A115" s="536"/>
      <c r="B115" s="537"/>
      <c r="C115" s="172" t="s">
        <v>14</v>
      </c>
      <c r="D115" s="51">
        <f t="shared" ref="D115:J115" si="10">SUM(D108:D114)</f>
        <v>0</v>
      </c>
      <c r="E115" s="52">
        <f t="shared" si="10"/>
        <v>0</v>
      </c>
      <c r="F115" s="205">
        <f t="shared" si="10"/>
        <v>0</v>
      </c>
      <c r="G115" s="205">
        <f t="shared" si="10"/>
        <v>0</v>
      </c>
      <c r="H115" s="51">
        <f t="shared" si="10"/>
        <v>0</v>
      </c>
      <c r="I115" s="52">
        <f t="shared" si="10"/>
        <v>0</v>
      </c>
      <c r="J115" s="175">
        <f t="shared" si="10"/>
        <v>0</v>
      </c>
    </row>
    <row r="116" spans="1:18" ht="15.75" thickBot="1" x14ac:dyDescent="0.3">
      <c r="A116" s="433"/>
      <c r="B116" s="428"/>
      <c r="C116" s="434"/>
      <c r="D116" s="435"/>
      <c r="H116" s="436"/>
      <c r="K116" s="91"/>
    </row>
    <row r="117" spans="1:18" ht="65.25" x14ac:dyDescent="0.3">
      <c r="A117" s="180" t="s">
        <v>67</v>
      </c>
      <c r="B117" s="407" t="s">
        <v>38</v>
      </c>
      <c r="C117" s="182" t="s">
        <v>6</v>
      </c>
      <c r="D117" s="183" t="s">
        <v>68</v>
      </c>
      <c r="E117" s="184" t="s">
        <v>69</v>
      </c>
      <c r="F117" s="184" t="s">
        <v>70</v>
      </c>
      <c r="G117" s="184" t="s">
        <v>71</v>
      </c>
      <c r="H117" s="184" t="s">
        <v>72</v>
      </c>
      <c r="I117" s="185" t="s">
        <v>73</v>
      </c>
      <c r="J117" s="186" t="s">
        <v>74</v>
      </c>
      <c r="K117" s="186" t="s">
        <v>75</v>
      </c>
      <c r="L117" s="11"/>
      <c r="M117" s="11"/>
      <c r="N117" s="11"/>
      <c r="O117" s="11"/>
      <c r="P117" s="11"/>
      <c r="Q117" s="11"/>
      <c r="R117" s="11"/>
    </row>
    <row r="118" spans="1:18" x14ac:dyDescent="0.25">
      <c r="A118" s="534" t="s">
        <v>35</v>
      </c>
      <c r="B118" s="535"/>
      <c r="C118" s="32">
        <v>2014</v>
      </c>
      <c r="D118" s="37"/>
      <c r="E118" s="34"/>
      <c r="F118" s="34"/>
      <c r="G118" s="34"/>
      <c r="H118" s="34"/>
      <c r="I118" s="38"/>
      <c r="J118" s="316">
        <f t="shared" ref="J118:K124" si="11">D118+F118+H118</f>
        <v>0</v>
      </c>
      <c r="K118" s="316">
        <f t="shared" si="11"/>
        <v>0</v>
      </c>
    </row>
    <row r="119" spans="1:18" x14ac:dyDescent="0.25">
      <c r="A119" s="534"/>
      <c r="B119" s="535"/>
      <c r="C119" s="32">
        <v>2015</v>
      </c>
      <c r="D119" s="37"/>
      <c r="E119" s="34"/>
      <c r="F119" s="34"/>
      <c r="G119" s="34"/>
      <c r="H119" s="34"/>
      <c r="I119" s="38"/>
      <c r="J119" s="316">
        <f t="shared" si="11"/>
        <v>0</v>
      </c>
      <c r="K119" s="316">
        <f t="shared" si="11"/>
        <v>0</v>
      </c>
    </row>
    <row r="120" spans="1:18" x14ac:dyDescent="0.25">
      <c r="A120" s="534"/>
      <c r="B120" s="535"/>
      <c r="C120" s="32">
        <v>2016</v>
      </c>
      <c r="D120" s="37"/>
      <c r="E120" s="34"/>
      <c r="F120" s="34"/>
      <c r="G120" s="34"/>
      <c r="H120" s="34"/>
      <c r="I120" s="38"/>
      <c r="J120" s="316">
        <f t="shared" si="11"/>
        <v>0</v>
      </c>
      <c r="K120" s="316">
        <f t="shared" si="11"/>
        <v>0</v>
      </c>
    </row>
    <row r="121" spans="1:18" x14ac:dyDescent="0.25">
      <c r="A121" s="534"/>
      <c r="B121" s="535"/>
      <c r="C121" s="32">
        <v>2017</v>
      </c>
      <c r="D121" s="419"/>
      <c r="E121" s="391"/>
      <c r="F121" s="391"/>
      <c r="G121" s="391"/>
      <c r="H121" s="391"/>
      <c r="I121" s="415"/>
      <c r="J121" s="316">
        <f t="shared" si="11"/>
        <v>0</v>
      </c>
      <c r="K121" s="316">
        <f t="shared" si="11"/>
        <v>0</v>
      </c>
    </row>
    <row r="122" spans="1:18" x14ac:dyDescent="0.25">
      <c r="A122" s="534"/>
      <c r="B122" s="535"/>
      <c r="C122" s="32">
        <v>2018</v>
      </c>
      <c r="D122" s="37"/>
      <c r="E122" s="34"/>
      <c r="F122" s="34"/>
      <c r="G122" s="34"/>
      <c r="H122" s="34"/>
      <c r="I122" s="38"/>
      <c r="J122" s="316">
        <f t="shared" si="11"/>
        <v>0</v>
      </c>
      <c r="K122" s="316">
        <f t="shared" si="11"/>
        <v>0</v>
      </c>
    </row>
    <row r="123" spans="1:18" x14ac:dyDescent="0.25">
      <c r="A123" s="534"/>
      <c r="B123" s="535"/>
      <c r="C123" s="32">
        <v>2019</v>
      </c>
      <c r="D123" s="37"/>
      <c r="E123" s="34"/>
      <c r="F123" s="34"/>
      <c r="G123" s="34"/>
      <c r="H123" s="34"/>
      <c r="I123" s="38"/>
      <c r="J123" s="316">
        <f t="shared" si="11"/>
        <v>0</v>
      </c>
      <c r="K123" s="316">
        <f t="shared" si="11"/>
        <v>0</v>
      </c>
    </row>
    <row r="124" spans="1:18" x14ac:dyDescent="0.25">
      <c r="A124" s="534"/>
      <c r="B124" s="535"/>
      <c r="C124" s="32">
        <v>2020</v>
      </c>
      <c r="D124" s="37"/>
      <c r="E124" s="34"/>
      <c r="F124" s="34"/>
      <c r="G124" s="34"/>
      <c r="H124" s="34"/>
      <c r="I124" s="38"/>
      <c r="J124" s="316">
        <f t="shared" si="11"/>
        <v>0</v>
      </c>
      <c r="K124" s="316">
        <f t="shared" si="11"/>
        <v>0</v>
      </c>
    </row>
    <row r="125" spans="1:18" ht="15.75" thickBot="1" x14ac:dyDescent="0.3">
      <c r="A125" s="536"/>
      <c r="B125" s="537"/>
      <c r="C125" s="50" t="s">
        <v>14</v>
      </c>
      <c r="D125" s="85"/>
      <c r="E125" s="52">
        <f>SUM(E118:E124)</f>
        <v>0</v>
      </c>
      <c r="F125" s="52"/>
      <c r="G125" s="52">
        <f>SUM(G118:G124)</f>
        <v>0</v>
      </c>
      <c r="H125" s="52"/>
      <c r="I125" s="86">
        <f>SUM(I118:I124)</f>
        <v>0</v>
      </c>
      <c r="J125" s="86">
        <f>SUM(J118:J124)</f>
        <v>0</v>
      </c>
      <c r="K125" s="86">
        <f>SUM(K118:K124)</f>
        <v>0</v>
      </c>
    </row>
    <row r="126" spans="1:18" x14ac:dyDescent="0.25">
      <c r="A126" s="437"/>
      <c r="B126" s="428"/>
      <c r="C126" s="58"/>
      <c r="D126" s="58"/>
    </row>
    <row r="127" spans="1:18" ht="21" x14ac:dyDescent="0.35">
      <c r="A127" s="189" t="s">
        <v>76</v>
      </c>
      <c r="B127" s="190"/>
      <c r="C127" s="189"/>
      <c r="D127" s="191"/>
      <c r="E127" s="191"/>
      <c r="F127" s="191"/>
      <c r="G127" s="191"/>
      <c r="H127" s="191"/>
      <c r="I127" s="191"/>
      <c r="J127" s="191"/>
      <c r="K127" s="191"/>
      <c r="L127" s="191"/>
      <c r="M127" s="191"/>
      <c r="N127" s="191"/>
      <c r="O127" s="191"/>
    </row>
    <row r="128" spans="1:18" ht="21.75" thickBot="1" x14ac:dyDescent="0.4">
      <c r="A128" s="192"/>
      <c r="B128" s="92"/>
    </row>
    <row r="129" spans="1:18" x14ac:dyDescent="0.25">
      <c r="A129" s="575" t="s">
        <v>77</v>
      </c>
      <c r="B129" s="577" t="s">
        <v>38</v>
      </c>
      <c r="C129" s="579" t="s">
        <v>78</v>
      </c>
      <c r="D129" s="193" t="s">
        <v>79</v>
      </c>
      <c r="E129" s="194"/>
      <c r="F129" s="194"/>
      <c r="G129" s="195"/>
      <c r="H129" s="196"/>
      <c r="I129" s="586" t="s">
        <v>28</v>
      </c>
      <c r="J129" s="587"/>
      <c r="K129" s="587"/>
      <c r="L129" s="587"/>
      <c r="M129" s="587"/>
      <c r="N129" s="587"/>
      <c r="O129" s="588"/>
      <c r="P129" s="11"/>
      <c r="Q129" s="11"/>
      <c r="R129" s="11"/>
    </row>
    <row r="130" spans="1:18" ht="102.75"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c r="P130" s="11"/>
      <c r="Q130" s="11"/>
      <c r="R130" s="11"/>
    </row>
    <row r="131" spans="1:18" x14ac:dyDescent="0.25">
      <c r="A131" s="589" t="s">
        <v>320</v>
      </c>
      <c r="B131" s="590"/>
      <c r="C131" s="32">
        <v>2014</v>
      </c>
      <c r="D131" s="33"/>
      <c r="E131" s="34"/>
      <c r="F131" s="34"/>
      <c r="G131" s="203">
        <f t="shared" ref="G131:G137" si="12">SUM(D131:E131)</f>
        <v>0</v>
      </c>
      <c r="H131" s="101"/>
      <c r="I131" s="37"/>
      <c r="J131" s="34"/>
      <c r="K131" s="34"/>
      <c r="L131" s="34"/>
      <c r="M131" s="34"/>
      <c r="N131" s="34"/>
      <c r="O131" s="38"/>
    </row>
    <row r="132" spans="1:18" x14ac:dyDescent="0.25">
      <c r="A132" s="589"/>
      <c r="B132" s="590"/>
      <c r="C132" s="32">
        <v>2015</v>
      </c>
      <c r="D132" s="33"/>
      <c r="E132" s="34"/>
      <c r="F132" s="34"/>
      <c r="G132" s="203">
        <f t="shared" si="12"/>
        <v>0</v>
      </c>
      <c r="H132" s="101"/>
      <c r="I132" s="37"/>
      <c r="J132" s="34"/>
      <c r="K132" s="34"/>
      <c r="L132" s="34"/>
      <c r="M132" s="34"/>
      <c r="N132" s="34"/>
      <c r="O132" s="38"/>
    </row>
    <row r="133" spans="1:18" x14ac:dyDescent="0.25">
      <c r="A133" s="589"/>
      <c r="B133" s="590"/>
      <c r="C133" s="32">
        <v>2016</v>
      </c>
      <c r="D133" s="33"/>
      <c r="E133" s="34"/>
      <c r="F133" s="34"/>
      <c r="G133" s="203">
        <f t="shared" si="12"/>
        <v>0</v>
      </c>
      <c r="H133" s="101"/>
      <c r="I133" s="37"/>
      <c r="J133" s="34"/>
      <c r="K133" s="34"/>
      <c r="L133" s="34"/>
      <c r="M133" s="34"/>
      <c r="N133" s="34"/>
      <c r="O133" s="38"/>
    </row>
    <row r="134" spans="1:18" x14ac:dyDescent="0.25">
      <c r="A134" s="589"/>
      <c r="B134" s="590"/>
      <c r="C134" s="32">
        <v>2017</v>
      </c>
      <c r="D134" s="389"/>
      <c r="E134" s="391"/>
      <c r="F134" s="391"/>
      <c r="G134" s="203">
        <f t="shared" si="12"/>
        <v>0</v>
      </c>
      <c r="H134" s="101"/>
      <c r="I134" s="419"/>
      <c r="J134" s="391"/>
      <c r="K134" s="391"/>
      <c r="L134" s="391"/>
      <c r="M134" s="391"/>
      <c r="N134" s="391"/>
      <c r="O134" s="415"/>
    </row>
    <row r="135" spans="1:18" x14ac:dyDescent="0.25">
      <c r="A135" s="589"/>
      <c r="B135" s="590"/>
      <c r="C135" s="32">
        <v>2018</v>
      </c>
      <c r="D135" s="33">
        <v>3</v>
      </c>
      <c r="E135" s="34">
        <v>1</v>
      </c>
      <c r="F135" s="34"/>
      <c r="G135" s="203">
        <f>SUM(D135:F135)</f>
        <v>4</v>
      </c>
      <c r="H135" s="101">
        <f>4+5</f>
        <v>9</v>
      </c>
      <c r="I135" s="37">
        <v>3</v>
      </c>
      <c r="J135" s="34">
        <v>1</v>
      </c>
      <c r="K135" s="34"/>
      <c r="L135" s="34"/>
      <c r="M135" s="34"/>
      <c r="N135" s="34"/>
      <c r="O135" s="38"/>
    </row>
    <row r="136" spans="1:18" x14ac:dyDescent="0.25">
      <c r="A136" s="589"/>
      <c r="B136" s="590"/>
      <c r="C136" s="32">
        <v>2019</v>
      </c>
      <c r="D136" s="33"/>
      <c r="E136" s="34"/>
      <c r="F136" s="34"/>
      <c r="G136" s="203">
        <f t="shared" si="12"/>
        <v>0</v>
      </c>
      <c r="H136" s="101"/>
      <c r="I136" s="37"/>
      <c r="J136" s="34"/>
      <c r="K136" s="34"/>
      <c r="L136" s="34"/>
      <c r="M136" s="34"/>
      <c r="N136" s="34"/>
      <c r="O136" s="38"/>
    </row>
    <row r="137" spans="1:18" x14ac:dyDescent="0.25">
      <c r="A137" s="589"/>
      <c r="B137" s="590"/>
      <c r="C137" s="32">
        <v>2020</v>
      </c>
      <c r="D137" s="33"/>
      <c r="E137" s="34"/>
      <c r="F137" s="34"/>
      <c r="G137" s="203">
        <f t="shared" si="12"/>
        <v>0</v>
      </c>
      <c r="H137" s="101"/>
      <c r="I137" s="37"/>
      <c r="J137" s="34"/>
      <c r="K137" s="34"/>
      <c r="L137" s="34"/>
      <c r="M137" s="34"/>
      <c r="N137" s="34"/>
      <c r="O137" s="38"/>
    </row>
    <row r="138" spans="1:18" ht="15.75" thickBot="1" x14ac:dyDescent="0.3">
      <c r="A138" s="591"/>
      <c r="B138" s="592"/>
      <c r="C138" s="50" t="s">
        <v>14</v>
      </c>
      <c r="D138" s="51">
        <f>SUM(D131:D137)</f>
        <v>3</v>
      </c>
      <c r="E138" s="52">
        <f>SUM(E131:E137)</f>
        <v>1</v>
      </c>
      <c r="F138" s="52">
        <f>SUM(F131:F137)</f>
        <v>0</v>
      </c>
      <c r="G138" s="205">
        <f t="shared" ref="G138:O138" si="13">SUM(G131:G137)</f>
        <v>4</v>
      </c>
      <c r="H138" s="206">
        <f t="shared" si="13"/>
        <v>9</v>
      </c>
      <c r="I138" s="85">
        <f t="shared" si="13"/>
        <v>3</v>
      </c>
      <c r="J138" s="52">
        <f t="shared" si="13"/>
        <v>1</v>
      </c>
      <c r="K138" s="52">
        <f t="shared" si="13"/>
        <v>0</v>
      </c>
      <c r="L138" s="52">
        <f t="shared" si="13"/>
        <v>0</v>
      </c>
      <c r="M138" s="52">
        <f t="shared" si="13"/>
        <v>0</v>
      </c>
      <c r="N138" s="52">
        <f t="shared" si="13"/>
        <v>0</v>
      </c>
      <c r="O138" s="86">
        <f t="shared" si="13"/>
        <v>0</v>
      </c>
    </row>
    <row r="139" spans="1:18" ht="15.75" thickBot="1" x14ac:dyDescent="0.3">
      <c r="B139" s="10"/>
    </row>
    <row r="140" spans="1:18" x14ac:dyDescent="0.25">
      <c r="A140" s="593" t="s">
        <v>86</v>
      </c>
      <c r="B140" s="595" t="s">
        <v>87</v>
      </c>
      <c r="C140" s="597" t="s">
        <v>6</v>
      </c>
      <c r="D140" s="597" t="s">
        <v>79</v>
      </c>
      <c r="E140" s="597"/>
      <c r="F140" s="597"/>
      <c r="G140" s="599"/>
      <c r="H140" s="600" t="s">
        <v>88</v>
      </c>
      <c r="I140" s="597"/>
      <c r="J140" s="597"/>
      <c r="K140" s="597"/>
      <c r="L140" s="601"/>
    </row>
    <row r="141" spans="1:18"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8" x14ac:dyDescent="0.25">
      <c r="A142" s="581" t="s">
        <v>321</v>
      </c>
      <c r="B142" s="582"/>
      <c r="C142" s="212">
        <v>2014</v>
      </c>
      <c r="D142" s="213"/>
      <c r="E142" s="80"/>
      <c r="F142" s="80"/>
      <c r="G142" s="214">
        <f>SUM(D142:F142)</f>
        <v>0</v>
      </c>
      <c r="H142" s="79"/>
      <c r="I142" s="80"/>
      <c r="J142" s="80"/>
      <c r="K142" s="80"/>
      <c r="L142" s="81"/>
    </row>
    <row r="143" spans="1:18" x14ac:dyDescent="0.25">
      <c r="A143" s="534"/>
      <c r="B143" s="535"/>
      <c r="C143" s="32">
        <v>2015</v>
      </c>
      <c r="D143" s="33"/>
      <c r="E143" s="34"/>
      <c r="F143" s="34"/>
      <c r="G143" s="214">
        <f t="shared" ref="G143:G148" si="14">SUM(D143:F143)</f>
        <v>0</v>
      </c>
      <c r="H143" s="37"/>
      <c r="I143" s="34"/>
      <c r="J143" s="34"/>
      <c r="K143" s="34"/>
      <c r="L143" s="38"/>
    </row>
    <row r="144" spans="1:18" x14ac:dyDescent="0.25">
      <c r="A144" s="534"/>
      <c r="B144" s="535"/>
      <c r="C144" s="32">
        <v>2016</v>
      </c>
      <c r="D144" s="33"/>
      <c r="E144" s="34"/>
      <c r="F144" s="34"/>
      <c r="G144" s="214">
        <f t="shared" si="14"/>
        <v>0</v>
      </c>
      <c r="H144" s="37"/>
      <c r="I144" s="34"/>
      <c r="J144" s="34"/>
      <c r="K144" s="34"/>
      <c r="L144" s="38"/>
    </row>
    <row r="145" spans="1:18" x14ac:dyDescent="0.25">
      <c r="A145" s="534"/>
      <c r="B145" s="535"/>
      <c r="C145" s="32">
        <v>2017</v>
      </c>
      <c r="D145" s="389"/>
      <c r="E145" s="391"/>
      <c r="F145" s="391"/>
      <c r="G145" s="214">
        <f t="shared" si="14"/>
        <v>0</v>
      </c>
      <c r="H145" s="419"/>
      <c r="I145" s="391"/>
      <c r="J145" s="391"/>
      <c r="K145" s="391"/>
      <c r="L145" s="415"/>
    </row>
    <row r="146" spans="1:18" x14ac:dyDescent="0.25">
      <c r="A146" s="534"/>
      <c r="B146" s="535"/>
      <c r="C146" s="32">
        <v>2018</v>
      </c>
      <c r="D146" s="33">
        <v>13</v>
      </c>
      <c r="E146" s="34">
        <f>23+3+3+7</f>
        <v>36</v>
      </c>
      <c r="F146" s="34"/>
      <c r="G146" s="214">
        <f t="shared" si="14"/>
        <v>49</v>
      </c>
      <c r="H146" s="37"/>
      <c r="I146" s="34"/>
      <c r="J146" s="34">
        <f>4+4</f>
        <v>8</v>
      </c>
      <c r="K146" s="34">
        <v>15</v>
      </c>
      <c r="L146" s="38">
        <f>6+7</f>
        <v>13</v>
      </c>
    </row>
    <row r="147" spans="1:18" x14ac:dyDescent="0.25">
      <c r="A147" s="534"/>
      <c r="B147" s="535"/>
      <c r="C147" s="32">
        <v>2019</v>
      </c>
      <c r="D147" s="33"/>
      <c r="E147" s="34"/>
      <c r="F147" s="34"/>
      <c r="G147" s="214">
        <f t="shared" si="14"/>
        <v>0</v>
      </c>
      <c r="H147" s="37"/>
      <c r="I147" s="34"/>
      <c r="J147" s="34"/>
      <c r="K147" s="34"/>
      <c r="L147" s="38"/>
    </row>
    <row r="148" spans="1:18" x14ac:dyDescent="0.25">
      <c r="A148" s="534"/>
      <c r="B148" s="535"/>
      <c r="C148" s="32">
        <v>2020</v>
      </c>
      <c r="D148" s="33"/>
      <c r="E148" s="34"/>
      <c r="F148" s="34"/>
      <c r="G148" s="214">
        <f t="shared" si="14"/>
        <v>0</v>
      </c>
      <c r="H148" s="37"/>
      <c r="I148" s="34"/>
      <c r="J148" s="34"/>
      <c r="K148" s="34"/>
      <c r="L148" s="38"/>
    </row>
    <row r="149" spans="1:18" ht="15.75" thickBot="1" x14ac:dyDescent="0.3">
      <c r="A149" s="536"/>
      <c r="B149" s="537"/>
      <c r="C149" s="50" t="s">
        <v>14</v>
      </c>
      <c r="D149" s="51">
        <f t="shared" ref="D149:L149" si="15">SUM(D142:D148)</f>
        <v>13</v>
      </c>
      <c r="E149" s="52">
        <f t="shared" si="15"/>
        <v>36</v>
      </c>
      <c r="F149" s="52">
        <f t="shared" si="15"/>
        <v>0</v>
      </c>
      <c r="G149" s="54">
        <f t="shared" si="15"/>
        <v>49</v>
      </c>
      <c r="H149" s="85">
        <f t="shared" si="15"/>
        <v>0</v>
      </c>
      <c r="I149" s="52">
        <f t="shared" si="15"/>
        <v>0</v>
      </c>
      <c r="J149" s="52">
        <f t="shared" si="15"/>
        <v>8</v>
      </c>
      <c r="K149" s="52">
        <f t="shared" si="15"/>
        <v>15</v>
      </c>
      <c r="L149" s="86">
        <f t="shared" si="15"/>
        <v>13</v>
      </c>
    </row>
    <row r="150" spans="1:18" x14ac:dyDescent="0.25">
      <c r="B150" s="10"/>
    </row>
    <row r="151" spans="1:18" x14ac:dyDescent="0.25">
      <c r="B151" s="10"/>
    </row>
    <row r="152" spans="1:18" ht="21" x14ac:dyDescent="0.35">
      <c r="A152" s="215" t="s">
        <v>99</v>
      </c>
      <c r="B152" s="68"/>
      <c r="C152" s="67"/>
      <c r="D152" s="69"/>
      <c r="E152" s="69"/>
      <c r="F152" s="69"/>
      <c r="G152" s="69"/>
      <c r="H152" s="69"/>
      <c r="I152" s="69"/>
      <c r="J152" s="69"/>
      <c r="K152" s="69"/>
      <c r="L152" s="69"/>
    </row>
    <row r="153" spans="1:18" ht="15.75" thickBot="1" x14ac:dyDescent="0.3">
      <c r="A153" s="91"/>
      <c r="B153" s="92"/>
    </row>
    <row r="154" spans="1:18" ht="65.25" x14ac:dyDescent="0.3">
      <c r="A154" s="216" t="s">
        <v>100</v>
      </c>
      <c r="B154" s="217" t="s">
        <v>101</v>
      </c>
      <c r="C154" s="218" t="s">
        <v>102</v>
      </c>
      <c r="D154" s="219" t="s">
        <v>103</v>
      </c>
      <c r="E154" s="220" t="s">
        <v>104</v>
      </c>
      <c r="F154" s="220" t="s">
        <v>105</v>
      </c>
      <c r="G154" s="221" t="s">
        <v>106</v>
      </c>
      <c r="H154" s="11"/>
      <c r="I154" s="11"/>
      <c r="J154" s="11"/>
      <c r="K154" s="11"/>
      <c r="L154" s="11"/>
      <c r="M154" s="11"/>
      <c r="N154" s="11"/>
      <c r="O154" s="11"/>
      <c r="P154" s="11"/>
      <c r="Q154" s="11"/>
      <c r="R154" s="11"/>
    </row>
    <row r="155" spans="1:18" x14ac:dyDescent="0.25">
      <c r="A155" s="540" t="s">
        <v>35</v>
      </c>
      <c r="B155" s="541"/>
      <c r="C155" s="32">
        <v>2014</v>
      </c>
      <c r="D155" s="33"/>
      <c r="E155" s="34"/>
      <c r="F155" s="34"/>
      <c r="G155" s="38"/>
    </row>
    <row r="156" spans="1:18" x14ac:dyDescent="0.25">
      <c r="A156" s="540"/>
      <c r="B156" s="541"/>
      <c r="C156" s="32">
        <v>2015</v>
      </c>
      <c r="D156" s="33"/>
      <c r="E156" s="34"/>
      <c r="F156" s="34"/>
      <c r="G156" s="38"/>
    </row>
    <row r="157" spans="1:18" x14ac:dyDescent="0.25">
      <c r="A157" s="540"/>
      <c r="B157" s="541"/>
      <c r="C157" s="32">
        <v>2016</v>
      </c>
      <c r="D157" s="33"/>
      <c r="E157" s="34"/>
      <c r="F157" s="34"/>
      <c r="G157" s="38"/>
    </row>
    <row r="158" spans="1:18" x14ac:dyDescent="0.25">
      <c r="A158" s="540"/>
      <c r="B158" s="541"/>
      <c r="C158" s="32">
        <v>2017</v>
      </c>
      <c r="D158" s="389"/>
      <c r="E158" s="391"/>
      <c r="F158" s="391"/>
      <c r="G158" s="415"/>
    </row>
    <row r="159" spans="1:18" x14ac:dyDescent="0.25">
      <c r="A159" s="540"/>
      <c r="B159" s="541"/>
      <c r="C159" s="32">
        <v>2018</v>
      </c>
      <c r="D159" s="33"/>
      <c r="E159" s="34"/>
      <c r="F159" s="34"/>
      <c r="G159" s="38"/>
    </row>
    <row r="160" spans="1:18"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438">
        <v>2014</v>
      </c>
      <c r="D165" s="438">
        <v>2015</v>
      </c>
      <c r="E165" s="438">
        <v>2016</v>
      </c>
      <c r="F165" s="438">
        <v>2017</v>
      </c>
      <c r="G165" s="438">
        <v>2018</v>
      </c>
      <c r="H165" s="438">
        <v>2019</v>
      </c>
      <c r="I165" s="439">
        <v>2020</v>
      </c>
    </row>
    <row r="166" spans="1:9" ht="15.75" x14ac:dyDescent="0.25">
      <c r="A166" s="229" t="s">
        <v>109</v>
      </c>
      <c r="B166" s="583" t="s">
        <v>322</v>
      </c>
      <c r="C166" s="230">
        <f>SUM(C167:C169)</f>
        <v>0</v>
      </c>
      <c r="D166" s="230">
        <f t="shared" ref="D166:I166" si="16">SUM(D167:D169)</f>
        <v>0</v>
      </c>
      <c r="E166" s="230">
        <f t="shared" si="16"/>
        <v>0</v>
      </c>
      <c r="F166" s="230">
        <f t="shared" si="16"/>
        <v>0</v>
      </c>
      <c r="G166" s="372">
        <f t="shared" si="16"/>
        <v>222561.86</v>
      </c>
      <c r="H166" s="230">
        <f t="shared" si="16"/>
        <v>0</v>
      </c>
      <c r="I166" s="231">
        <f t="shared" si="16"/>
        <v>0</v>
      </c>
    </row>
    <row r="167" spans="1:9" ht="15.75" x14ac:dyDescent="0.25">
      <c r="A167" s="232" t="s">
        <v>111</v>
      </c>
      <c r="B167" s="584"/>
      <c r="C167" s="78"/>
      <c r="D167" s="78"/>
      <c r="E167" s="78"/>
      <c r="F167" s="420"/>
      <c r="G167" s="289">
        <f>114439.66+108122.2</f>
        <v>222561.86</v>
      </c>
      <c r="H167" s="78"/>
      <c r="I167" s="233"/>
    </row>
    <row r="168" spans="1:9" ht="15.75" x14ac:dyDescent="0.25">
      <c r="A168" s="232" t="s">
        <v>112</v>
      </c>
      <c r="B168" s="584"/>
      <c r="C168" s="78"/>
      <c r="D168" s="78"/>
      <c r="E168" s="78"/>
      <c r="F168" s="420"/>
      <c r="G168" s="289">
        <v>0</v>
      </c>
      <c r="H168" s="78"/>
      <c r="I168" s="233"/>
    </row>
    <row r="169" spans="1:9" ht="15.75" x14ac:dyDescent="0.25">
      <c r="A169" s="232" t="s">
        <v>113</v>
      </c>
      <c r="B169" s="584"/>
      <c r="C169" s="78"/>
      <c r="D169" s="78"/>
      <c r="E169" s="78"/>
      <c r="F169" s="420"/>
      <c r="G169" s="289">
        <v>0</v>
      </c>
      <c r="H169" s="78"/>
      <c r="I169" s="233"/>
    </row>
    <row r="170" spans="1:9" ht="31.5" x14ac:dyDescent="0.25">
      <c r="A170" s="229" t="s">
        <v>114</v>
      </c>
      <c r="B170" s="584"/>
      <c r="C170" s="78"/>
      <c r="D170" s="78"/>
      <c r="E170" s="78"/>
      <c r="F170" s="420"/>
      <c r="G170" s="412">
        <v>79942.28</v>
      </c>
      <c r="H170" s="78"/>
      <c r="I170" s="233"/>
    </row>
    <row r="171" spans="1:9" x14ac:dyDescent="0.25">
      <c r="A171" s="658" t="s">
        <v>115</v>
      </c>
      <c r="B171" s="584"/>
      <c r="C171" s="649">
        <f t="shared" ref="C171:I171" si="17">C166+C170</f>
        <v>0</v>
      </c>
      <c r="D171" s="649">
        <f t="shared" si="17"/>
        <v>0</v>
      </c>
      <c r="E171" s="649">
        <f t="shared" si="17"/>
        <v>0</v>
      </c>
      <c r="F171" s="649">
        <f t="shared" si="17"/>
        <v>0</v>
      </c>
      <c r="G171" s="652">
        <f t="shared" si="17"/>
        <v>302504.14</v>
      </c>
      <c r="H171" s="649">
        <f t="shared" si="17"/>
        <v>0</v>
      </c>
      <c r="I171" s="655">
        <f t="shared" si="17"/>
        <v>0</v>
      </c>
    </row>
    <row r="172" spans="1:9" x14ac:dyDescent="0.25">
      <c r="A172" s="658"/>
      <c r="B172" s="584"/>
      <c r="C172" s="650"/>
      <c r="D172" s="650"/>
      <c r="E172" s="650"/>
      <c r="F172" s="650"/>
      <c r="G172" s="653"/>
      <c r="H172" s="650"/>
      <c r="I172" s="656"/>
    </row>
    <row r="173" spans="1:9" ht="15.75" thickBot="1" x14ac:dyDescent="0.3">
      <c r="A173" s="659"/>
      <c r="B173" s="585"/>
      <c r="C173" s="651"/>
      <c r="D173" s="651"/>
      <c r="E173" s="651"/>
      <c r="F173" s="651"/>
      <c r="G173" s="654"/>
      <c r="H173" s="651"/>
      <c r="I173" s="657"/>
    </row>
  </sheetData>
  <mergeCells count="58">
    <mergeCell ref="H171:H173"/>
    <mergeCell ref="I171:I173"/>
    <mergeCell ref="D171:D173"/>
    <mergeCell ref="I129:O129"/>
    <mergeCell ref="A131:B138"/>
    <mergeCell ref="A140:A141"/>
    <mergeCell ref="B140:B141"/>
    <mergeCell ref="C140:C141"/>
    <mergeCell ref="D140:G140"/>
    <mergeCell ref="H140:L140"/>
    <mergeCell ref="A142:B149"/>
    <mergeCell ref="A155:B162"/>
    <mergeCell ref="B166:B173"/>
    <mergeCell ref="A171:A173"/>
    <mergeCell ref="C171:C173"/>
    <mergeCell ref="E171:E173"/>
    <mergeCell ref="F171:F173"/>
    <mergeCell ref="G171:G173"/>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topLeftCell="A55"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378</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35</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2</v>
      </c>
      <c r="E16" s="34"/>
      <c r="F16" s="34"/>
      <c r="G16" s="35"/>
      <c r="H16" s="36">
        <f t="shared" si="0"/>
        <v>2</v>
      </c>
      <c r="I16" s="37">
        <v>2</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2</v>
      </c>
      <c r="E19" s="52">
        <f>SUM(E12:E18)</f>
        <v>0</v>
      </c>
      <c r="F19" s="52">
        <f>SUM(F12:F18)</f>
        <v>0</v>
      </c>
      <c r="G19" s="53"/>
      <c r="H19" s="54">
        <f>SUM(D19:F19)</f>
        <v>2</v>
      </c>
      <c r="I19" s="85">
        <f>SUM(I12:I18)</f>
        <v>2</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517"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140</v>
      </c>
      <c r="E27" s="34"/>
      <c r="F27" s="34"/>
      <c r="G27" s="35"/>
      <c r="H27" s="36">
        <f t="shared" si="1"/>
        <v>140</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140</v>
      </c>
      <c r="E30" s="52">
        <f>SUM(E23:E29)</f>
        <v>0</v>
      </c>
      <c r="F30" s="52">
        <f>SUM(F23:F29)</f>
        <v>0</v>
      </c>
      <c r="G30" s="52">
        <f>SUM(G23:G29)</f>
        <v>0</v>
      </c>
      <c r="H30" s="54">
        <f t="shared" ref="H30" si="2">SUM(D30:F30)</f>
        <v>140</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c r="E40" s="37"/>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0</v>
      </c>
      <c r="E43" s="85">
        <f t="shared" ref="E43:J43" si="3">SUM(E36:E42)</f>
        <v>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515" t="s">
        <v>6</v>
      </c>
      <c r="D94" s="139" t="s">
        <v>51</v>
      </c>
      <c r="E94" s="140"/>
      <c r="F94" s="140"/>
      <c r="G94" s="141"/>
      <c r="H94" s="11"/>
      <c r="I94" s="11"/>
      <c r="J94" s="11"/>
      <c r="K94" s="11"/>
      <c r="O94" s="9"/>
      <c r="P94" s="9"/>
    </row>
    <row r="95" spans="1:17" s="9" customFormat="1" ht="64.5" x14ac:dyDescent="0.25">
      <c r="A95" s="559"/>
      <c r="B95" s="561"/>
      <c r="C95" s="51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514"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2</v>
      </c>
      <c r="E135" s="34">
        <v>1</v>
      </c>
      <c r="F135" s="34"/>
      <c r="G135" s="203">
        <f t="shared" si="12"/>
        <v>3</v>
      </c>
      <c r="H135" s="101"/>
      <c r="I135" s="37"/>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2</v>
      </c>
      <c r="E138" s="52">
        <f>SUM(E131:E137)</f>
        <v>1</v>
      </c>
      <c r="F138" s="52">
        <f>SUM(F131:F137)</f>
        <v>0</v>
      </c>
      <c r="G138" s="205">
        <f t="shared" ref="G138:O138" si="13">SUM(G131:G137)</f>
        <v>3</v>
      </c>
      <c r="H138" s="206">
        <f t="shared" si="13"/>
        <v>0</v>
      </c>
      <c r="I138" s="85">
        <f t="shared" si="13"/>
        <v>0</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46</v>
      </c>
      <c r="E146" s="34">
        <v>25</v>
      </c>
      <c r="F146" s="34"/>
      <c r="G146" s="214">
        <f t="shared" si="14"/>
        <v>71</v>
      </c>
      <c r="H146" s="37"/>
      <c r="I146" s="34"/>
      <c r="J146" s="34"/>
      <c r="K146" s="34"/>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46</v>
      </c>
      <c r="E149" s="52">
        <f t="shared" si="15"/>
        <v>25</v>
      </c>
      <c r="F149" s="52">
        <f t="shared" si="15"/>
        <v>0</v>
      </c>
      <c r="G149" s="54">
        <f t="shared" si="15"/>
        <v>71</v>
      </c>
      <c r="H149" s="85">
        <f t="shared" si="15"/>
        <v>0</v>
      </c>
      <c r="I149" s="52">
        <f t="shared" si="15"/>
        <v>0</v>
      </c>
      <c r="J149" s="52">
        <f t="shared" si="15"/>
        <v>0</v>
      </c>
      <c r="K149" s="52">
        <f t="shared" si="15"/>
        <v>0</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18"/>
      <c r="C166" s="230">
        <f>SUM(C167:C169)</f>
        <v>0</v>
      </c>
      <c r="D166" s="230">
        <f t="shared" ref="D166:I166" si="16">SUM(D167:D169)</f>
        <v>0</v>
      </c>
      <c r="E166" s="230">
        <f t="shared" si="16"/>
        <v>0</v>
      </c>
      <c r="F166" s="230">
        <f t="shared" si="16"/>
        <v>0</v>
      </c>
      <c r="G166" s="230">
        <f t="shared" si="16"/>
        <v>121134.26</v>
      </c>
      <c r="H166" s="230">
        <f t="shared" si="16"/>
        <v>0</v>
      </c>
      <c r="I166" s="231">
        <f t="shared" si="16"/>
        <v>0</v>
      </c>
    </row>
    <row r="167" spans="1:9" ht="15.75" x14ac:dyDescent="0.25">
      <c r="A167" s="232" t="s">
        <v>111</v>
      </c>
      <c r="B167" s="243"/>
      <c r="C167" s="78"/>
      <c r="D167" s="78"/>
      <c r="E167" s="78"/>
      <c r="F167" s="82"/>
      <c r="G167" s="78">
        <v>28923.95</v>
      </c>
      <c r="H167" s="78"/>
      <c r="I167" s="233"/>
    </row>
    <row r="168" spans="1:9" ht="15.75" x14ac:dyDescent="0.25">
      <c r="A168" s="232" t="s">
        <v>112</v>
      </c>
      <c r="B168" s="243"/>
      <c r="C168" s="78"/>
      <c r="D168" s="78"/>
      <c r="E168" s="78"/>
      <c r="F168" s="82"/>
      <c r="G168" s="78"/>
      <c r="H168" s="78"/>
      <c r="I168" s="233"/>
    </row>
    <row r="169" spans="1:9" ht="15.75" x14ac:dyDescent="0.25">
      <c r="A169" s="232" t="s">
        <v>113</v>
      </c>
      <c r="B169" s="243"/>
      <c r="C169" s="78"/>
      <c r="D169" s="78"/>
      <c r="E169" s="78"/>
      <c r="F169" s="82"/>
      <c r="G169" s="78">
        <v>92210.31</v>
      </c>
      <c r="H169" s="78"/>
      <c r="I169" s="233"/>
    </row>
    <row r="170" spans="1:9" ht="31.5" x14ac:dyDescent="0.25">
      <c r="A170" s="234" t="s">
        <v>114</v>
      </c>
      <c r="B170" s="243"/>
      <c r="C170" s="78"/>
      <c r="D170" s="78"/>
      <c r="E170" s="78"/>
      <c r="F170" s="82"/>
      <c r="G170" s="78">
        <v>61801.46</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182935.72</v>
      </c>
      <c r="H171" s="236">
        <f t="shared" si="17"/>
        <v>0</v>
      </c>
      <c r="I171" s="86">
        <f t="shared" si="17"/>
        <v>0</v>
      </c>
    </row>
    <row r="173" spans="1:9" x14ac:dyDescent="0.25">
      <c r="A173" t="s">
        <v>379</v>
      </c>
    </row>
    <row r="175" spans="1:9" x14ac:dyDescent="0.25">
      <c r="A175" t="s">
        <v>380</v>
      </c>
    </row>
    <row r="176" spans="1:9" x14ac:dyDescent="0.25">
      <c r="A176" t="s">
        <v>381</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opLeftCell="A55" workbookViewId="0">
      <selection activeCell="A7" sqref="A7:O7"/>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323</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324</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8</v>
      </c>
      <c r="E16" s="34"/>
      <c r="F16" s="34"/>
      <c r="G16" s="35"/>
      <c r="H16" s="36">
        <f t="shared" si="0"/>
        <v>8</v>
      </c>
      <c r="I16" s="37">
        <v>8</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8</v>
      </c>
      <c r="E19" s="52">
        <f>SUM(E12:E18)</f>
        <v>0</v>
      </c>
      <c r="F19" s="52">
        <f>SUM(F12:F18)</f>
        <v>0</v>
      </c>
      <c r="G19" s="53"/>
      <c r="H19" s="54">
        <f>SUM(D19:F19)</f>
        <v>8</v>
      </c>
      <c r="I19" s="85">
        <f>SUM(I12:I18)</f>
        <v>8</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325</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718</v>
      </c>
      <c r="E27" s="34"/>
      <c r="F27" s="34"/>
      <c r="G27" s="35"/>
      <c r="H27" s="36">
        <f t="shared" si="1"/>
        <v>718</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76.5" customHeight="1" thickBot="1" x14ac:dyDescent="0.3">
      <c r="A30" s="536"/>
      <c r="B30" s="537"/>
      <c r="C30" s="50" t="s">
        <v>14</v>
      </c>
      <c r="D30" s="51">
        <f>SUM(D23:D29)</f>
        <v>718</v>
      </c>
      <c r="E30" s="52">
        <f>SUM(E23:E29)</f>
        <v>0</v>
      </c>
      <c r="F30" s="52">
        <f>SUM(F23:F29)</f>
        <v>0</v>
      </c>
      <c r="G30" s="52">
        <f>SUM(G23:G29)</f>
        <v>0</v>
      </c>
      <c r="H30" s="54">
        <f t="shared" ref="H30" si="2">SUM(D30:F30)</f>
        <v>718</v>
      </c>
    </row>
    <row r="31" spans="1:17" ht="21" customHeight="1"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326</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2</v>
      </c>
      <c r="E40" s="37">
        <v>2</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2</v>
      </c>
      <c r="E43" s="85">
        <f t="shared" ref="E43:J43" si="3">SUM(E36:E42)</f>
        <v>2</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327</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c r="E135" s="34">
        <v>4</v>
      </c>
      <c r="F135" s="34">
        <v>4</v>
      </c>
      <c r="G135" s="203">
        <f>SUM(D135:F135)</f>
        <v>8</v>
      </c>
      <c r="H135" s="101">
        <v>16</v>
      </c>
      <c r="I135" s="37">
        <v>8</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33" customHeight="1" thickBot="1" x14ac:dyDescent="0.3">
      <c r="A138" s="591"/>
      <c r="B138" s="592"/>
      <c r="C138" s="50" t="s">
        <v>14</v>
      </c>
      <c r="D138" s="51">
        <f>SUM(D131:D137)</f>
        <v>0</v>
      </c>
      <c r="E138" s="52">
        <f>SUM(E131:E137)</f>
        <v>4</v>
      </c>
      <c r="F138" s="52">
        <f>SUM(F131:F137)</f>
        <v>4</v>
      </c>
      <c r="G138" s="205">
        <f t="shared" ref="G138:O138" si="13">SUM(G131:G137)</f>
        <v>8</v>
      </c>
      <c r="H138" s="206">
        <f t="shared" si="13"/>
        <v>16</v>
      </c>
      <c r="I138" s="85">
        <f t="shared" si="13"/>
        <v>8</v>
      </c>
      <c r="J138" s="52">
        <f t="shared" si="13"/>
        <v>0</v>
      </c>
      <c r="K138" s="52">
        <f t="shared" si="13"/>
        <v>0</v>
      </c>
      <c r="L138" s="52">
        <f t="shared" si="13"/>
        <v>0</v>
      </c>
      <c r="M138" s="52">
        <f t="shared" si="13"/>
        <v>0</v>
      </c>
      <c r="N138" s="52">
        <f t="shared" si="13"/>
        <v>0</v>
      </c>
      <c r="O138" s="86">
        <f t="shared" si="13"/>
        <v>0</v>
      </c>
    </row>
    <row r="139" spans="1:15" ht="17.25" customHeight="1"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328</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c r="E146" s="34">
        <f>105+120+49+120</f>
        <v>394</v>
      </c>
      <c r="F146" s="34">
        <v>324</v>
      </c>
      <c r="G146" s="214">
        <f t="shared" si="14"/>
        <v>718</v>
      </c>
      <c r="H146" s="37"/>
      <c r="I146" s="34">
        <v>1</v>
      </c>
      <c r="J146" s="34">
        <f>33+6+6+16+20</f>
        <v>81</v>
      </c>
      <c r="K146" s="34">
        <f>66+65+65+84+72+120+50</f>
        <v>522</v>
      </c>
      <c r="L146" s="38">
        <f>6+9+20+30+49</f>
        <v>114</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84.75" customHeight="1" thickBot="1" x14ac:dyDescent="0.3">
      <c r="A149" s="536"/>
      <c r="B149" s="537"/>
      <c r="C149" s="50" t="s">
        <v>14</v>
      </c>
      <c r="D149" s="51">
        <f t="shared" ref="D149:L149" si="15">SUM(D142:D148)</f>
        <v>0</v>
      </c>
      <c r="E149" s="52">
        <f t="shared" si="15"/>
        <v>394</v>
      </c>
      <c r="F149" s="52">
        <f t="shared" si="15"/>
        <v>324</v>
      </c>
      <c r="G149" s="54">
        <f t="shared" si="15"/>
        <v>718</v>
      </c>
      <c r="H149" s="85">
        <f t="shared" si="15"/>
        <v>0</v>
      </c>
      <c r="I149" s="52">
        <f t="shared" si="15"/>
        <v>1</v>
      </c>
      <c r="J149" s="52">
        <f t="shared" si="15"/>
        <v>81</v>
      </c>
      <c r="K149" s="52">
        <f t="shared" si="15"/>
        <v>522</v>
      </c>
      <c r="L149" s="86">
        <f t="shared" si="15"/>
        <v>114</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440" t="s">
        <v>108</v>
      </c>
      <c r="C165" s="227">
        <v>2014</v>
      </c>
      <c r="D165" s="227">
        <v>2015</v>
      </c>
      <c r="E165" s="227">
        <v>2016</v>
      </c>
      <c r="F165" s="227">
        <v>2017</v>
      </c>
      <c r="G165" s="227">
        <v>2018</v>
      </c>
      <c r="H165" s="227">
        <v>2019</v>
      </c>
      <c r="I165" s="228">
        <v>2020</v>
      </c>
    </row>
    <row r="166" spans="1:9" ht="14.1" customHeight="1" x14ac:dyDescent="0.25">
      <c r="A166" s="441" t="s">
        <v>109</v>
      </c>
      <c r="B166" s="663" t="s">
        <v>329</v>
      </c>
      <c r="C166" s="442">
        <f>SUM(C167:C169)</f>
        <v>0</v>
      </c>
      <c r="D166" s="230">
        <f t="shared" ref="D166:I166" si="16">SUM(D167:D169)</f>
        <v>0</v>
      </c>
      <c r="E166" s="230">
        <f t="shared" si="16"/>
        <v>0</v>
      </c>
      <c r="F166" s="230">
        <f t="shared" si="16"/>
        <v>0</v>
      </c>
      <c r="G166" s="230">
        <f t="shared" si="16"/>
        <v>111948.43</v>
      </c>
      <c r="H166" s="230">
        <f t="shared" si="16"/>
        <v>0</v>
      </c>
      <c r="I166" s="231">
        <f t="shared" si="16"/>
        <v>0</v>
      </c>
    </row>
    <row r="167" spans="1:9" ht="15.75" x14ac:dyDescent="0.25">
      <c r="A167" s="443" t="s">
        <v>111</v>
      </c>
      <c r="B167" s="663"/>
      <c r="C167" s="385"/>
      <c r="D167" s="78"/>
      <c r="E167" s="78"/>
      <c r="F167" s="82"/>
      <c r="G167" s="78">
        <f>111948.43-G168</f>
        <v>108968.53</v>
      </c>
      <c r="H167" s="78"/>
      <c r="I167" s="233"/>
    </row>
    <row r="168" spans="1:9" ht="15.75" x14ac:dyDescent="0.25">
      <c r="A168" s="443" t="s">
        <v>112</v>
      </c>
      <c r="B168" s="663"/>
      <c r="C168" s="385"/>
      <c r="D168" s="78"/>
      <c r="E168" s="78"/>
      <c r="F168" s="82"/>
      <c r="G168" s="386">
        <f>2066.4+913.5</f>
        <v>2979.9</v>
      </c>
      <c r="H168" s="78"/>
      <c r="I168" s="233"/>
    </row>
    <row r="169" spans="1:9" ht="15.75" x14ac:dyDescent="0.25">
      <c r="A169" s="443" t="s">
        <v>113</v>
      </c>
      <c r="B169" s="663"/>
      <c r="C169" s="385"/>
      <c r="D169" s="78"/>
      <c r="E169" s="78"/>
      <c r="F169" s="82"/>
      <c r="G169" s="78">
        <v>0</v>
      </c>
      <c r="H169" s="78"/>
      <c r="I169" s="233"/>
    </row>
    <row r="170" spans="1:9" ht="31.5" x14ac:dyDescent="0.25">
      <c r="A170" s="387" t="s">
        <v>114</v>
      </c>
      <c r="B170" s="663"/>
      <c r="C170" s="385"/>
      <c r="D170" s="78"/>
      <c r="E170" s="78"/>
      <c r="F170" s="82"/>
      <c r="G170" s="78">
        <v>100967.25</v>
      </c>
      <c r="H170" s="78"/>
      <c r="I170" s="233"/>
    </row>
    <row r="171" spans="1:9" ht="18.75" customHeight="1" x14ac:dyDescent="0.25">
      <c r="A171" s="444" t="s">
        <v>115</v>
      </c>
      <c r="B171" s="663"/>
      <c r="C171" s="445">
        <f t="shared" ref="C171:I171" si="17">C166+C170</f>
        <v>0</v>
      </c>
      <c r="D171" s="446">
        <f t="shared" si="17"/>
        <v>0</v>
      </c>
      <c r="E171" s="446">
        <f t="shared" si="17"/>
        <v>0</v>
      </c>
      <c r="F171" s="446">
        <f t="shared" si="17"/>
        <v>0</v>
      </c>
      <c r="G171" s="446">
        <f t="shared" si="17"/>
        <v>212915.68</v>
      </c>
      <c r="H171" s="446">
        <f t="shared" si="17"/>
        <v>0</v>
      </c>
      <c r="I171" s="316">
        <f t="shared" si="17"/>
        <v>0</v>
      </c>
    </row>
    <row r="172" spans="1:9" ht="409.6" customHeight="1" x14ac:dyDescent="0.25">
      <c r="A172" s="447"/>
      <c r="B172" s="663"/>
      <c r="C172" s="448"/>
      <c r="D172" s="448"/>
      <c r="E172" s="448"/>
      <c r="F172" s="448"/>
      <c r="G172" s="448"/>
      <c r="H172" s="448"/>
      <c r="I172" s="449"/>
    </row>
    <row r="173" spans="1:9" ht="101.25" customHeight="1" thickBot="1" x14ac:dyDescent="0.3">
      <c r="A173" s="450"/>
      <c r="B173" s="664"/>
      <c r="C173" s="451"/>
      <c r="D173" s="451"/>
      <c r="E173" s="451"/>
      <c r="F173" s="451"/>
      <c r="G173" s="451"/>
      <c r="H173" s="451"/>
      <c r="I173" s="452"/>
    </row>
  </sheetData>
  <mergeCells count="50">
    <mergeCell ref="A142:B149"/>
    <mergeCell ref="A155:B162"/>
    <mergeCell ref="B166:B173"/>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2" workbookViewId="0">
      <selection activeCell="D99" sqref="D9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389</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390</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48</v>
      </c>
      <c r="E16" s="34"/>
      <c r="F16" s="34"/>
      <c r="G16" s="35">
        <v>2</v>
      </c>
      <c r="H16" s="36">
        <f t="shared" si="0"/>
        <v>50</v>
      </c>
      <c r="I16" s="37">
        <v>48</v>
      </c>
      <c r="J16" s="34"/>
      <c r="K16" s="34">
        <v>1</v>
      </c>
      <c r="L16" s="34"/>
      <c r="M16" s="34"/>
      <c r="N16" s="34"/>
      <c r="O16" s="38">
        <v>2</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48</v>
      </c>
      <c r="E19" s="52">
        <f>SUM(E12:E18)</f>
        <v>0</v>
      </c>
      <c r="F19" s="52">
        <f>SUM(F12:F18)</f>
        <v>0</v>
      </c>
      <c r="G19" s="53"/>
      <c r="H19" s="54">
        <f>SUM(D19:F19)</f>
        <v>48</v>
      </c>
      <c r="I19" s="85">
        <f>SUM(I12:I18)</f>
        <v>48</v>
      </c>
      <c r="J19" s="52"/>
      <c r="K19" s="52">
        <f>SUM(K12:K18)</f>
        <v>1</v>
      </c>
      <c r="L19" s="52">
        <f>SUM(L12:L18)</f>
        <v>0</v>
      </c>
      <c r="M19" s="52">
        <f>SUM(M12:M18)</f>
        <v>0</v>
      </c>
      <c r="N19" s="52">
        <f>SUM(N12:N18)</f>
        <v>0</v>
      </c>
      <c r="O19" s="86">
        <f>SUM(O12:O18)</f>
        <v>2</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517" t="s">
        <v>23</v>
      </c>
      <c r="C22" s="533"/>
      <c r="D22" s="62" t="s">
        <v>10</v>
      </c>
      <c r="E22" s="63" t="s">
        <v>11</v>
      </c>
      <c r="F22" s="63" t="s">
        <v>12</v>
      </c>
      <c r="G22" s="64" t="s">
        <v>13</v>
      </c>
      <c r="H22" s="25" t="s">
        <v>14</v>
      </c>
    </row>
    <row r="23" spans="1:17" ht="15" customHeight="1" x14ac:dyDescent="0.25">
      <c r="A23" s="665" t="s">
        <v>391</v>
      </c>
      <c r="B23" s="666"/>
      <c r="C23" s="32">
        <v>2014</v>
      </c>
      <c r="D23" s="33"/>
      <c r="E23" s="34"/>
      <c r="F23" s="34"/>
      <c r="G23" s="35"/>
      <c r="H23" s="36">
        <f>SUM(D23:G23)</f>
        <v>0</v>
      </c>
    </row>
    <row r="24" spans="1:17" x14ac:dyDescent="0.25">
      <c r="A24" s="665"/>
      <c r="B24" s="666"/>
      <c r="C24" s="32">
        <v>2015</v>
      </c>
      <c r="D24" s="33"/>
      <c r="E24" s="34"/>
      <c r="F24" s="34"/>
      <c r="G24" s="35"/>
      <c r="H24" s="36">
        <f t="shared" ref="H24:H29" si="1">SUM(D24:G24)</f>
        <v>0</v>
      </c>
    </row>
    <row r="25" spans="1:17" x14ac:dyDescent="0.25">
      <c r="A25" s="665"/>
      <c r="B25" s="666"/>
      <c r="C25" s="32">
        <v>2016</v>
      </c>
      <c r="D25" s="33"/>
      <c r="E25" s="34"/>
      <c r="F25" s="34"/>
      <c r="G25" s="35"/>
      <c r="H25" s="36">
        <f t="shared" si="1"/>
        <v>0</v>
      </c>
    </row>
    <row r="26" spans="1:17" x14ac:dyDescent="0.25">
      <c r="A26" s="665"/>
      <c r="B26" s="666"/>
      <c r="C26" s="32">
        <v>2017</v>
      </c>
      <c r="D26" s="39"/>
      <c r="E26" s="40"/>
      <c r="F26" s="40"/>
      <c r="G26" s="41"/>
      <c r="H26" s="36">
        <f t="shared" si="1"/>
        <v>0</v>
      </c>
    </row>
    <row r="27" spans="1:17" x14ac:dyDescent="0.25">
      <c r="A27" s="665"/>
      <c r="B27" s="666"/>
      <c r="C27" s="32">
        <v>2018</v>
      </c>
      <c r="D27" s="33">
        <v>1240</v>
      </c>
      <c r="E27" s="34"/>
      <c r="F27" s="34"/>
      <c r="G27" s="35">
        <v>90000</v>
      </c>
      <c r="H27" s="36">
        <f>SUM(D27:G27)</f>
        <v>91240</v>
      </c>
    </row>
    <row r="28" spans="1:17" x14ac:dyDescent="0.25">
      <c r="A28" s="665"/>
      <c r="B28" s="666"/>
      <c r="C28" s="32">
        <v>2019</v>
      </c>
      <c r="D28" s="33"/>
      <c r="E28" s="34"/>
      <c r="F28" s="34"/>
      <c r="H28" s="36">
        <f t="shared" si="1"/>
        <v>0</v>
      </c>
    </row>
    <row r="29" spans="1:17" x14ac:dyDescent="0.25">
      <c r="A29" s="665"/>
      <c r="B29" s="666"/>
      <c r="C29" s="32">
        <v>2020</v>
      </c>
      <c r="D29" s="33"/>
      <c r="E29" s="34"/>
      <c r="F29" s="34"/>
      <c r="G29" s="35"/>
      <c r="H29" s="36">
        <f t="shared" si="1"/>
        <v>0</v>
      </c>
    </row>
    <row r="30" spans="1:17" ht="24" customHeight="1" thickBot="1" x14ac:dyDescent="0.3">
      <c r="A30" s="667"/>
      <c r="B30" s="668"/>
      <c r="C30" s="50" t="s">
        <v>14</v>
      </c>
      <c r="D30" s="51">
        <f>SUM(D23:D29)</f>
        <v>1240</v>
      </c>
      <c r="E30" s="52">
        <f>SUM(E23:E29)</f>
        <v>0</v>
      </c>
      <c r="F30" s="52">
        <f>SUM(F23:F29)</f>
        <v>0</v>
      </c>
      <c r="G30" s="52">
        <f>SUM(G23:G29)</f>
        <v>90000</v>
      </c>
      <c r="H30" s="54">
        <f t="shared" ref="H30" si="2">SUM(D30:F30)</f>
        <v>1240</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392</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15</v>
      </c>
      <c r="E40" s="37">
        <v>15</v>
      </c>
      <c r="F40" s="34"/>
      <c r="G40" s="34">
        <v>1</v>
      </c>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15</v>
      </c>
      <c r="E43" s="85">
        <f t="shared" ref="E43:J43" si="3">SUM(E36:E42)</f>
        <v>15</v>
      </c>
      <c r="F43" s="52">
        <f t="shared" si="3"/>
        <v>0</v>
      </c>
      <c r="G43" s="52">
        <f t="shared" si="3"/>
        <v>1</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393</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2</v>
      </c>
      <c r="E54" s="37">
        <v>2</v>
      </c>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2</v>
      </c>
      <c r="E57" s="85">
        <f t="shared" si="4"/>
        <v>2</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394</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395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29</v>
      </c>
      <c r="E78" s="122">
        <v>29</v>
      </c>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29</v>
      </c>
      <c r="E81" s="128">
        <f t="shared" si="6"/>
        <v>29</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515" t="s">
        <v>6</v>
      </c>
      <c r="D94" s="139" t="s">
        <v>51</v>
      </c>
      <c r="E94" s="140"/>
      <c r="F94" s="140"/>
      <c r="G94" s="141"/>
      <c r="H94" s="11"/>
      <c r="I94" s="11"/>
      <c r="J94" s="11"/>
      <c r="K94" s="11"/>
      <c r="O94" s="9"/>
      <c r="P94" s="9"/>
    </row>
    <row r="95" spans="1:17" s="9" customFormat="1" ht="64.5" x14ac:dyDescent="0.25">
      <c r="A95" s="559"/>
      <c r="B95" s="561"/>
      <c r="C95" s="51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v>54</v>
      </c>
      <c r="F99" s="34"/>
      <c r="G99" s="144">
        <f t="shared" si="8"/>
        <v>54</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54</v>
      </c>
      <c r="F102" s="52">
        <f>SUM(F95:F101)</f>
        <v>0</v>
      </c>
      <c r="G102" s="145">
        <f>SUM(G95:G101)</f>
        <v>54</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514"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396</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3</v>
      </c>
      <c r="E135" s="34">
        <v>2</v>
      </c>
      <c r="F135" s="34">
        <v>8</v>
      </c>
      <c r="G135" s="203">
        <f t="shared" si="12"/>
        <v>5</v>
      </c>
      <c r="H135" s="101">
        <v>20</v>
      </c>
      <c r="I135" s="37">
        <v>20</v>
      </c>
      <c r="J135" s="34"/>
      <c r="K135" s="34">
        <v>1</v>
      </c>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3</v>
      </c>
      <c r="E138" s="52">
        <f>SUM(E131:E137)</f>
        <v>2</v>
      </c>
      <c r="F138" s="52">
        <f>SUM(F131:F137)</f>
        <v>8</v>
      </c>
      <c r="G138" s="205">
        <f t="shared" ref="G138:O138" si="13">SUM(G131:G137)</f>
        <v>5</v>
      </c>
      <c r="H138" s="206">
        <f t="shared" si="13"/>
        <v>20</v>
      </c>
      <c r="I138" s="85">
        <f t="shared" si="13"/>
        <v>20</v>
      </c>
      <c r="J138" s="52">
        <f t="shared" si="13"/>
        <v>0</v>
      </c>
      <c r="K138" s="52">
        <f t="shared" si="13"/>
        <v>1</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397</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93</v>
      </c>
      <c r="E146" s="34">
        <v>55</v>
      </c>
      <c r="F146" s="34">
        <v>274</v>
      </c>
      <c r="G146" s="214">
        <f t="shared" si="14"/>
        <v>422</v>
      </c>
      <c r="H146" s="37"/>
      <c r="I146" s="34"/>
      <c r="J146" s="34">
        <v>273</v>
      </c>
      <c r="K146" s="34">
        <v>113</v>
      </c>
      <c r="L146" s="38">
        <v>36</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93</v>
      </c>
      <c r="E149" s="52">
        <f t="shared" si="15"/>
        <v>55</v>
      </c>
      <c r="F149" s="52">
        <f t="shared" si="15"/>
        <v>274</v>
      </c>
      <c r="G149" s="54">
        <f t="shared" si="15"/>
        <v>422</v>
      </c>
      <c r="H149" s="85">
        <f t="shared" si="15"/>
        <v>0</v>
      </c>
      <c r="I149" s="52">
        <f t="shared" si="15"/>
        <v>0</v>
      </c>
      <c r="J149" s="52">
        <f t="shared" si="15"/>
        <v>273</v>
      </c>
      <c r="K149" s="52">
        <f t="shared" si="15"/>
        <v>113</v>
      </c>
      <c r="L149" s="86">
        <f t="shared" si="15"/>
        <v>36</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5.75" x14ac:dyDescent="0.25">
      <c r="A166" s="229" t="s">
        <v>109</v>
      </c>
      <c r="B166" s="583" t="s">
        <v>398</v>
      </c>
      <c r="C166" s="230">
        <f>SUM(C167:C169)</f>
        <v>0</v>
      </c>
      <c r="D166" s="230">
        <f t="shared" ref="D166:I166" si="16">SUM(D167:D169)</f>
        <v>0</v>
      </c>
      <c r="E166" s="230">
        <f t="shared" si="16"/>
        <v>0</v>
      </c>
      <c r="F166" s="230">
        <f t="shared" si="16"/>
        <v>0</v>
      </c>
      <c r="G166" s="230">
        <f t="shared" si="16"/>
        <v>216677.34</v>
      </c>
      <c r="H166" s="230">
        <f t="shared" si="16"/>
        <v>0</v>
      </c>
      <c r="I166" s="231">
        <f t="shared" si="16"/>
        <v>0</v>
      </c>
    </row>
    <row r="167" spans="1:9" ht="15.75" x14ac:dyDescent="0.25">
      <c r="A167" s="232" t="s">
        <v>111</v>
      </c>
      <c r="B167" s="584"/>
      <c r="C167" s="78"/>
      <c r="D167" s="78"/>
      <c r="E167" s="78"/>
      <c r="F167" s="82"/>
      <c r="G167" s="78">
        <v>216677.34</v>
      </c>
      <c r="H167" s="78"/>
      <c r="I167" s="233"/>
    </row>
    <row r="168" spans="1:9" ht="15.75" x14ac:dyDescent="0.25">
      <c r="A168" s="232" t="s">
        <v>112</v>
      </c>
      <c r="B168" s="584"/>
      <c r="C168" s="78"/>
      <c r="D168" s="78"/>
      <c r="E168" s="78"/>
      <c r="F168" s="82"/>
      <c r="G168" s="78"/>
      <c r="H168" s="78"/>
      <c r="I168" s="233"/>
    </row>
    <row r="169" spans="1:9" ht="15.75" x14ac:dyDescent="0.25">
      <c r="A169" s="232" t="s">
        <v>113</v>
      </c>
      <c r="B169" s="584"/>
      <c r="C169" s="78"/>
      <c r="D169" s="78"/>
      <c r="E169" s="78"/>
      <c r="F169" s="82"/>
      <c r="G169" s="78"/>
      <c r="H169" s="78"/>
      <c r="I169" s="233"/>
    </row>
    <row r="170" spans="1:9" ht="31.5" x14ac:dyDescent="0.25">
      <c r="A170" s="234" t="s">
        <v>114</v>
      </c>
      <c r="B170" s="584"/>
      <c r="C170" s="78"/>
      <c r="D170" s="78"/>
      <c r="E170" s="78"/>
      <c r="F170" s="82"/>
      <c r="G170" s="78">
        <v>141172.89000000001</v>
      </c>
      <c r="H170" s="78"/>
      <c r="I170" s="233"/>
    </row>
    <row r="171" spans="1:9" ht="246.75" customHeight="1" thickBot="1" x14ac:dyDescent="0.3">
      <c r="A171" s="235" t="s">
        <v>115</v>
      </c>
      <c r="B171" s="585"/>
      <c r="C171" s="236">
        <f t="shared" ref="C171:I171" si="17">C166+C170</f>
        <v>0</v>
      </c>
      <c r="D171" s="236">
        <f t="shared" si="17"/>
        <v>0</v>
      </c>
      <c r="E171" s="236">
        <f t="shared" si="17"/>
        <v>0</v>
      </c>
      <c r="F171" s="236">
        <f t="shared" si="17"/>
        <v>0</v>
      </c>
      <c r="G171" s="236">
        <f t="shared" si="17"/>
        <v>357850.23</v>
      </c>
      <c r="H171" s="236">
        <f t="shared" si="17"/>
        <v>0</v>
      </c>
      <c r="I171" s="86">
        <f t="shared" si="17"/>
        <v>0</v>
      </c>
    </row>
  </sheetData>
  <mergeCells count="50">
    <mergeCell ref="A142:B149"/>
    <mergeCell ref="A155:B162"/>
    <mergeCell ref="I129:O129"/>
    <mergeCell ref="A131:B138"/>
    <mergeCell ref="A140:A141"/>
    <mergeCell ref="B140:B141"/>
    <mergeCell ref="C140:C141"/>
    <mergeCell ref="D140:G140"/>
    <mergeCell ref="H140:L140"/>
    <mergeCell ref="B106:B107"/>
    <mergeCell ref="C106:C107"/>
    <mergeCell ref="A108:B115"/>
    <mergeCell ref="A118:B125"/>
    <mergeCell ref="A129:A130"/>
    <mergeCell ref="B129:B130"/>
    <mergeCell ref="C129:C130"/>
    <mergeCell ref="D72:D73"/>
    <mergeCell ref="A74:B81"/>
    <mergeCell ref="A83:A84"/>
    <mergeCell ref="B83:B84"/>
    <mergeCell ref="C83:C84"/>
    <mergeCell ref="D83:D84"/>
    <mergeCell ref="A72:A73"/>
    <mergeCell ref="B72:B73"/>
    <mergeCell ref="C72:C73"/>
    <mergeCell ref="D34:D35"/>
    <mergeCell ref="A36:B43"/>
    <mergeCell ref="A48:A49"/>
    <mergeCell ref="B48:B49"/>
    <mergeCell ref="C48:C49"/>
    <mergeCell ref="D48:D49"/>
    <mergeCell ref="A34:A35"/>
    <mergeCell ref="B34:B35"/>
    <mergeCell ref="C34:C35"/>
    <mergeCell ref="B166:B171"/>
    <mergeCell ref="B10:B11"/>
    <mergeCell ref="C10:C11"/>
    <mergeCell ref="A12:B19"/>
    <mergeCell ref="C21:C22"/>
    <mergeCell ref="A23:B30"/>
    <mergeCell ref="A50:B57"/>
    <mergeCell ref="A61:A62"/>
    <mergeCell ref="B61:B62"/>
    <mergeCell ref="C61:C62"/>
    <mergeCell ref="A63:B70"/>
    <mergeCell ref="A85:B92"/>
    <mergeCell ref="A94:A95"/>
    <mergeCell ref="B94:B95"/>
    <mergeCell ref="A96:B102"/>
    <mergeCell ref="A106:A10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4"/>
  <sheetViews>
    <sheetView topLeftCell="A55" workbookViewId="0">
      <selection activeCell="A21" sqref="A21"/>
    </sheetView>
  </sheetViews>
  <sheetFormatPr defaultColWidth="8.85546875" defaultRowHeight="15" x14ac:dyDescent="0.25"/>
  <cols>
    <col min="1" max="1" width="87.28515625" customWidth="1"/>
    <col min="2" max="2" width="45.71093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356</v>
      </c>
    </row>
    <row r="5" spans="1:17" s="2" customFormat="1" ht="15.75" x14ac:dyDescent="0.25">
      <c r="A5" s="239" t="s">
        <v>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357</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8</v>
      </c>
      <c r="E16" s="34"/>
      <c r="F16" s="34"/>
      <c r="G16" s="35"/>
      <c r="H16" s="36">
        <f t="shared" si="0"/>
        <v>8</v>
      </c>
      <c r="I16" s="37">
        <v>8</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8</v>
      </c>
      <c r="E19" s="52">
        <f>SUM(E12:E18)</f>
        <v>0</v>
      </c>
      <c r="F19" s="52">
        <f>SUM(F12:F18)</f>
        <v>0</v>
      </c>
      <c r="G19" s="53"/>
      <c r="H19" s="54">
        <f>SUM(D19:F19)</f>
        <v>8</v>
      </c>
      <c r="I19" s="85">
        <f>SUM(I12:I18)</f>
        <v>8</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11" t="s">
        <v>23</v>
      </c>
      <c r="C22" s="533"/>
      <c r="D22" s="62" t="s">
        <v>10</v>
      </c>
      <c r="E22" s="63" t="s">
        <v>11</v>
      </c>
      <c r="F22" s="63" t="s">
        <v>12</v>
      </c>
      <c r="G22" s="64" t="s">
        <v>13</v>
      </c>
      <c r="H22" s="25" t="s">
        <v>14</v>
      </c>
    </row>
    <row r="23" spans="1:17" ht="15" customHeight="1" x14ac:dyDescent="0.25">
      <c r="A23" s="534" t="s">
        <v>358</v>
      </c>
      <c r="B23" s="535"/>
      <c r="C23" s="32">
        <v>2014</v>
      </c>
      <c r="D23" s="33"/>
      <c r="E23" s="34"/>
      <c r="F23" s="34"/>
      <c r="G23" s="35"/>
      <c r="H23" s="36">
        <f>SUM(D23:G23)</f>
        <v>0</v>
      </c>
      <c r="J23" s="369"/>
    </row>
    <row r="24" spans="1:17" x14ac:dyDescent="0.25">
      <c r="A24" s="534"/>
      <c r="B24" s="535"/>
      <c r="C24" s="32">
        <v>2015</v>
      </c>
      <c r="D24" s="33"/>
      <c r="E24" s="34"/>
      <c r="F24" s="34"/>
      <c r="G24" s="35"/>
      <c r="H24" s="36">
        <f t="shared" ref="H24:H29" si="1">SUM(D24:G24)</f>
        <v>0</v>
      </c>
      <c r="J24" s="369"/>
    </row>
    <row r="25" spans="1:17" x14ac:dyDescent="0.25">
      <c r="A25" s="534"/>
      <c r="B25" s="535"/>
      <c r="C25" s="32">
        <v>2016</v>
      </c>
      <c r="D25" s="33"/>
      <c r="E25" s="34"/>
      <c r="F25" s="34"/>
      <c r="G25" s="35"/>
      <c r="H25" s="36">
        <f t="shared" si="1"/>
        <v>0</v>
      </c>
      <c r="J25" s="369"/>
    </row>
    <row r="26" spans="1:17" x14ac:dyDescent="0.25">
      <c r="A26" s="534"/>
      <c r="B26" s="535"/>
      <c r="C26" s="32">
        <v>2017</v>
      </c>
      <c r="D26" s="39"/>
      <c r="E26" s="40"/>
      <c r="F26" s="40"/>
      <c r="G26" s="41"/>
      <c r="H26" s="36">
        <f t="shared" si="1"/>
        <v>0</v>
      </c>
      <c r="J26" s="369"/>
    </row>
    <row r="27" spans="1:17" x14ac:dyDescent="0.25">
      <c r="A27" s="534"/>
      <c r="B27" s="535"/>
      <c r="C27" s="32">
        <v>2018</v>
      </c>
      <c r="D27" s="33">
        <v>209</v>
      </c>
      <c r="E27" s="34"/>
      <c r="F27" s="34"/>
      <c r="G27" s="35"/>
      <c r="H27" s="36">
        <f t="shared" si="1"/>
        <v>209</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209</v>
      </c>
      <c r="E30" s="52">
        <f>SUM(E23:E29)</f>
        <v>0</v>
      </c>
      <c r="F30" s="52">
        <f>SUM(F23:F29)</f>
        <v>0</v>
      </c>
      <c r="G30" s="52">
        <f>SUM(G23:G29)</f>
        <v>0</v>
      </c>
      <c r="H30" s="54">
        <f t="shared" ref="H30" si="2">SUM(D30:F30)</f>
        <v>209</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c r="E40" s="37"/>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0</v>
      </c>
      <c r="E43" s="85">
        <f t="shared" ref="E43:J43" si="3">SUM(E36:E42)</f>
        <v>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9" t="s">
        <v>6</v>
      </c>
      <c r="D94" s="139" t="s">
        <v>51</v>
      </c>
      <c r="E94" s="140"/>
      <c r="F94" s="140"/>
      <c r="G94" s="141"/>
      <c r="H94" s="11"/>
      <c r="I94" s="11"/>
      <c r="J94" s="11"/>
      <c r="K94" s="11"/>
      <c r="O94" s="9"/>
      <c r="P94" s="9"/>
    </row>
    <row r="95" spans="1:17" s="9" customFormat="1" ht="64.5" x14ac:dyDescent="0.25">
      <c r="A95" s="559"/>
      <c r="B95" s="561"/>
      <c r="C95" s="410"/>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8"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34" t="s">
        <v>359</v>
      </c>
      <c r="B131" s="535"/>
      <c r="C131" s="32">
        <v>2014</v>
      </c>
      <c r="D131" s="33"/>
      <c r="E131" s="34"/>
      <c r="F131" s="34"/>
      <c r="G131" s="203">
        <f t="shared" ref="G131:G137" si="12">SUM(D131:E131)</f>
        <v>0</v>
      </c>
      <c r="H131" s="101"/>
      <c r="I131" s="37"/>
      <c r="J131" s="34"/>
      <c r="K131" s="34"/>
      <c r="L131" s="34"/>
      <c r="M131" s="34"/>
      <c r="N131" s="34"/>
      <c r="O131" s="38"/>
    </row>
    <row r="132" spans="1:15" x14ac:dyDescent="0.25">
      <c r="A132" s="534"/>
      <c r="B132" s="535"/>
      <c r="C132" s="32">
        <v>2015</v>
      </c>
      <c r="D132" s="33"/>
      <c r="E132" s="34"/>
      <c r="F132" s="34"/>
      <c r="G132" s="203">
        <f t="shared" si="12"/>
        <v>0</v>
      </c>
      <c r="H132" s="101"/>
      <c r="I132" s="37"/>
      <c r="J132" s="34"/>
      <c r="K132" s="34"/>
      <c r="L132" s="34"/>
      <c r="M132" s="34"/>
      <c r="N132" s="34"/>
      <c r="O132" s="38"/>
    </row>
    <row r="133" spans="1:15" x14ac:dyDescent="0.25">
      <c r="A133" s="534"/>
      <c r="B133" s="535"/>
      <c r="C133" s="32">
        <v>2016</v>
      </c>
      <c r="D133" s="33"/>
      <c r="E133" s="34"/>
      <c r="F133" s="34"/>
      <c r="G133" s="203">
        <f t="shared" si="12"/>
        <v>0</v>
      </c>
      <c r="H133" s="101"/>
      <c r="I133" s="37"/>
      <c r="J133" s="34"/>
      <c r="K133" s="34"/>
      <c r="L133" s="34"/>
      <c r="M133" s="34"/>
      <c r="N133" s="34"/>
      <c r="O133" s="38"/>
    </row>
    <row r="134" spans="1:15" x14ac:dyDescent="0.25">
      <c r="A134" s="534"/>
      <c r="B134" s="535"/>
      <c r="C134" s="32">
        <v>2017</v>
      </c>
      <c r="D134" s="39"/>
      <c r="E134" s="40"/>
      <c r="F134" s="40"/>
      <c r="G134" s="203">
        <f t="shared" si="12"/>
        <v>0</v>
      </c>
      <c r="H134" s="101"/>
      <c r="I134" s="42"/>
      <c r="J134" s="40"/>
      <c r="K134" s="40"/>
      <c r="L134" s="40"/>
      <c r="M134" s="40"/>
      <c r="N134" s="40"/>
      <c r="O134" s="43"/>
    </row>
    <row r="135" spans="1:15" x14ac:dyDescent="0.25">
      <c r="A135" s="534"/>
      <c r="B135" s="535"/>
      <c r="C135" s="32">
        <v>2018</v>
      </c>
      <c r="D135" s="33">
        <v>4</v>
      </c>
      <c r="E135" s="34">
        <v>3</v>
      </c>
      <c r="F135" s="34">
        <v>1</v>
      </c>
      <c r="G135" s="203">
        <f>SUM(D135:F135)</f>
        <v>8</v>
      </c>
      <c r="H135" s="101">
        <v>15</v>
      </c>
      <c r="I135" s="37">
        <v>8</v>
      </c>
      <c r="J135" s="34"/>
      <c r="K135" s="34"/>
      <c r="L135" s="34"/>
      <c r="M135" s="34"/>
      <c r="N135" s="34"/>
      <c r="O135" s="38"/>
    </row>
    <row r="136" spans="1:15" x14ac:dyDescent="0.25">
      <c r="A136" s="534"/>
      <c r="B136" s="535"/>
      <c r="C136" s="32">
        <v>2019</v>
      </c>
      <c r="D136" s="33"/>
      <c r="E136" s="34"/>
      <c r="F136" s="34"/>
      <c r="G136" s="203">
        <f t="shared" si="12"/>
        <v>0</v>
      </c>
      <c r="H136" s="101"/>
      <c r="I136" s="37"/>
      <c r="J136" s="34"/>
      <c r="K136" s="34"/>
      <c r="L136" s="34"/>
      <c r="M136" s="34"/>
      <c r="N136" s="34"/>
      <c r="O136" s="38"/>
    </row>
    <row r="137" spans="1:15" x14ac:dyDescent="0.25">
      <c r="A137" s="534"/>
      <c r="B137" s="535"/>
      <c r="C137" s="32">
        <v>2020</v>
      </c>
      <c r="D137" s="33"/>
      <c r="E137" s="34"/>
      <c r="F137" s="34"/>
      <c r="G137" s="203">
        <f t="shared" si="12"/>
        <v>0</v>
      </c>
      <c r="H137" s="101"/>
      <c r="I137" s="37"/>
      <c r="J137" s="34"/>
      <c r="K137" s="34"/>
      <c r="L137" s="34"/>
      <c r="M137" s="34"/>
      <c r="N137" s="34"/>
      <c r="O137" s="38"/>
    </row>
    <row r="138" spans="1:15" ht="15.95" customHeight="1" thickBot="1" x14ac:dyDescent="0.3">
      <c r="A138" s="536"/>
      <c r="B138" s="537"/>
      <c r="C138" s="50" t="s">
        <v>14</v>
      </c>
      <c r="D138" s="51">
        <f>SUM(D131:D137)</f>
        <v>4</v>
      </c>
      <c r="E138" s="52">
        <f>SUM(E131:E137)</f>
        <v>3</v>
      </c>
      <c r="F138" s="52">
        <f>SUM(F131:F137)</f>
        <v>1</v>
      </c>
      <c r="G138" s="205">
        <f t="shared" ref="G138:O138" si="13">SUM(G131:G137)</f>
        <v>8</v>
      </c>
      <c r="H138" s="206">
        <f t="shared" si="13"/>
        <v>15</v>
      </c>
      <c r="I138" s="85">
        <f t="shared" si="13"/>
        <v>8</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34" t="s">
        <v>360</v>
      </c>
      <c r="B142" s="535"/>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197</v>
      </c>
      <c r="E146" s="34">
        <v>317</v>
      </c>
      <c r="F146" s="34">
        <v>50</v>
      </c>
      <c r="G146" s="214">
        <f t="shared" si="14"/>
        <v>564</v>
      </c>
      <c r="H146" s="37"/>
      <c r="I146" s="34">
        <v>6</v>
      </c>
      <c r="J146" s="34">
        <v>126</v>
      </c>
      <c r="K146" s="34">
        <v>403</v>
      </c>
      <c r="L146" s="38">
        <v>29</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29.25" customHeight="1" thickBot="1" x14ac:dyDescent="0.3">
      <c r="A149" s="536"/>
      <c r="B149" s="537"/>
      <c r="C149" s="50" t="s">
        <v>14</v>
      </c>
      <c r="D149" s="51">
        <f t="shared" ref="D149:L149" si="15">SUM(D142:D148)</f>
        <v>197</v>
      </c>
      <c r="E149" s="52">
        <f t="shared" si="15"/>
        <v>317</v>
      </c>
      <c r="F149" s="52">
        <f t="shared" si="15"/>
        <v>50</v>
      </c>
      <c r="G149" s="54">
        <f t="shared" si="15"/>
        <v>564</v>
      </c>
      <c r="H149" s="85">
        <f t="shared" si="15"/>
        <v>0</v>
      </c>
      <c r="I149" s="52">
        <f t="shared" si="15"/>
        <v>6</v>
      </c>
      <c r="J149" s="52">
        <f t="shared" si="15"/>
        <v>126</v>
      </c>
      <c r="K149" s="52">
        <f t="shared" si="15"/>
        <v>403</v>
      </c>
      <c r="L149" s="86">
        <f t="shared" si="15"/>
        <v>29</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02" t="s">
        <v>361</v>
      </c>
      <c r="C166" s="230">
        <f>SUM(C167:C169)</f>
        <v>0</v>
      </c>
      <c r="D166" s="230">
        <f t="shared" ref="D166:I166" si="16">SUM(D167:D169)</f>
        <v>0</v>
      </c>
      <c r="E166" s="230">
        <f t="shared" si="16"/>
        <v>0</v>
      </c>
      <c r="F166" s="230">
        <f t="shared" si="16"/>
        <v>0</v>
      </c>
      <c r="G166" s="372">
        <f>SUM(G167:G169)</f>
        <v>226581.53</v>
      </c>
      <c r="H166" s="230">
        <f t="shared" si="16"/>
        <v>0</v>
      </c>
      <c r="I166" s="231">
        <f t="shared" si="16"/>
        <v>0</v>
      </c>
    </row>
    <row r="167" spans="1:9" ht="15.75" x14ac:dyDescent="0.25">
      <c r="A167" s="232" t="s">
        <v>111</v>
      </c>
      <c r="B167" s="603"/>
      <c r="C167" s="78"/>
      <c r="D167" s="78"/>
      <c r="E167" s="78"/>
      <c r="F167" s="82"/>
      <c r="G167" s="289">
        <v>226581.53</v>
      </c>
      <c r="H167" s="78"/>
      <c r="I167" s="233"/>
    </row>
    <row r="168" spans="1:9" ht="15.75" x14ac:dyDescent="0.25">
      <c r="A168" s="232" t="s">
        <v>112</v>
      </c>
      <c r="B168" s="603"/>
      <c r="C168" s="78"/>
      <c r="D168" s="78"/>
      <c r="E168" s="78"/>
      <c r="F168" s="82"/>
      <c r="G168" s="292"/>
      <c r="H168" s="78"/>
      <c r="I168" s="233"/>
    </row>
    <row r="169" spans="1:9" ht="15.75" x14ac:dyDescent="0.25">
      <c r="A169" s="232" t="s">
        <v>113</v>
      </c>
      <c r="B169" s="603"/>
      <c r="C169" s="78"/>
      <c r="D169" s="78"/>
      <c r="E169" s="78"/>
      <c r="F169" s="82"/>
      <c r="G169" s="289"/>
      <c r="H169" s="78"/>
      <c r="I169" s="233"/>
    </row>
    <row r="170" spans="1:9" ht="31.5" x14ac:dyDescent="0.25">
      <c r="A170" s="234" t="s">
        <v>114</v>
      </c>
      <c r="B170" s="603"/>
      <c r="C170" s="78"/>
      <c r="D170" s="78"/>
      <c r="E170" s="78"/>
      <c r="F170" s="82"/>
      <c r="G170" s="289">
        <v>95010.780000000013</v>
      </c>
      <c r="H170" s="78"/>
      <c r="I170" s="233"/>
    </row>
    <row r="171" spans="1:9" ht="24" customHeight="1" thickBot="1" x14ac:dyDescent="0.3">
      <c r="A171" s="484" t="s">
        <v>115</v>
      </c>
      <c r="B171" s="604"/>
      <c r="C171" s="485">
        <f t="shared" ref="C171:I171" si="17">C166+C170</f>
        <v>0</v>
      </c>
      <c r="D171" s="485">
        <f t="shared" si="17"/>
        <v>0</v>
      </c>
      <c r="E171" s="485">
        <f t="shared" si="17"/>
        <v>0</v>
      </c>
      <c r="F171" s="485">
        <f t="shared" si="17"/>
        <v>0</v>
      </c>
      <c r="G171" s="486">
        <f t="shared" si="17"/>
        <v>321592.31</v>
      </c>
      <c r="H171" s="485">
        <f t="shared" si="17"/>
        <v>0</v>
      </c>
      <c r="I171" s="487">
        <f t="shared" si="17"/>
        <v>0</v>
      </c>
    </row>
    <row r="174" spans="1:9" ht="409.5" customHeight="1" x14ac:dyDescent="0.25">
      <c r="A174" s="669" t="s">
        <v>362</v>
      </c>
      <c r="B174" s="669"/>
      <c r="C174" s="669"/>
      <c r="D174" s="669"/>
      <c r="E174" s="669"/>
      <c r="F174" s="669"/>
      <c r="G174" s="669"/>
      <c r="H174" s="669"/>
      <c r="I174" s="669"/>
    </row>
    <row r="175" spans="1:9" x14ac:dyDescent="0.25">
      <c r="A175" s="669"/>
      <c r="B175" s="669"/>
      <c r="C175" s="669"/>
      <c r="D175" s="669"/>
      <c r="E175" s="669"/>
      <c r="F175" s="669"/>
      <c r="G175" s="669"/>
      <c r="H175" s="669"/>
      <c r="I175" s="669"/>
    </row>
    <row r="176" spans="1:9" x14ac:dyDescent="0.25">
      <c r="A176" s="669"/>
      <c r="B176" s="669"/>
      <c r="C176" s="669"/>
      <c r="D176" s="669"/>
      <c r="E176" s="669"/>
      <c r="F176" s="669"/>
      <c r="G176" s="669"/>
      <c r="H176" s="669"/>
      <c r="I176" s="669"/>
    </row>
    <row r="177" spans="1:9" x14ac:dyDescent="0.25">
      <c r="A177" s="669"/>
      <c r="B177" s="669"/>
      <c r="C177" s="669"/>
      <c r="D177" s="669"/>
      <c r="E177" s="669"/>
      <c r="F177" s="669"/>
      <c r="G177" s="669"/>
      <c r="H177" s="669"/>
      <c r="I177" s="669"/>
    </row>
    <row r="178" spans="1:9" x14ac:dyDescent="0.25">
      <c r="A178" s="669"/>
      <c r="B178" s="669"/>
      <c r="C178" s="669"/>
      <c r="D178" s="669"/>
      <c r="E178" s="669"/>
      <c r="F178" s="669"/>
      <c r="G178" s="669"/>
      <c r="H178" s="669"/>
      <c r="I178" s="669"/>
    </row>
    <row r="179" spans="1:9" x14ac:dyDescent="0.25">
      <c r="A179" s="669"/>
      <c r="B179" s="669"/>
      <c r="C179" s="669"/>
      <c r="D179" s="669"/>
      <c r="E179" s="669"/>
      <c r="F179" s="669"/>
      <c r="G179" s="669"/>
      <c r="H179" s="669"/>
      <c r="I179" s="669"/>
    </row>
    <row r="180" spans="1:9" x14ac:dyDescent="0.25">
      <c r="A180" s="669"/>
      <c r="B180" s="669"/>
      <c r="C180" s="669"/>
      <c r="D180" s="669"/>
      <c r="E180" s="669"/>
      <c r="F180" s="669"/>
      <c r="G180" s="669"/>
      <c r="H180" s="669"/>
      <c r="I180" s="669"/>
    </row>
    <row r="181" spans="1:9" x14ac:dyDescent="0.25">
      <c r="A181" s="669"/>
      <c r="B181" s="669"/>
      <c r="C181" s="669"/>
      <c r="D181" s="669"/>
      <c r="E181" s="669"/>
      <c r="F181" s="669"/>
      <c r="G181" s="669"/>
      <c r="H181" s="669"/>
      <c r="I181" s="669"/>
    </row>
    <row r="182" spans="1:9" x14ac:dyDescent="0.25">
      <c r="A182" s="669"/>
      <c r="B182" s="669"/>
      <c r="C182" s="669"/>
      <c r="D182" s="669"/>
      <c r="E182" s="669"/>
      <c r="F182" s="669"/>
      <c r="G182" s="669"/>
      <c r="H182" s="669"/>
      <c r="I182" s="669"/>
    </row>
    <row r="183" spans="1:9" x14ac:dyDescent="0.25">
      <c r="A183" s="669"/>
      <c r="B183" s="669"/>
      <c r="C183" s="669"/>
      <c r="D183" s="669"/>
      <c r="E183" s="669"/>
      <c r="F183" s="669"/>
      <c r="G183" s="669"/>
      <c r="H183" s="669"/>
      <c r="I183" s="669"/>
    </row>
    <row r="184" spans="1:9" x14ac:dyDescent="0.25">
      <c r="A184" s="669"/>
      <c r="B184" s="669"/>
      <c r="C184" s="669"/>
      <c r="D184" s="669"/>
      <c r="E184" s="669"/>
      <c r="F184" s="669"/>
      <c r="G184" s="669"/>
      <c r="H184" s="669"/>
      <c r="I184" s="669"/>
    </row>
    <row r="185" spans="1:9" x14ac:dyDescent="0.25">
      <c r="A185" s="669"/>
      <c r="B185" s="669"/>
      <c r="C185" s="669"/>
      <c r="D185" s="669"/>
      <c r="E185" s="669"/>
      <c r="F185" s="669"/>
      <c r="G185" s="669"/>
      <c r="H185" s="669"/>
      <c r="I185" s="669"/>
    </row>
    <row r="186" spans="1:9" x14ac:dyDescent="0.25">
      <c r="A186" s="669"/>
      <c r="B186" s="669"/>
      <c r="C186" s="669"/>
      <c r="D186" s="669"/>
      <c r="E186" s="669"/>
      <c r="F186" s="669"/>
      <c r="G186" s="669"/>
      <c r="H186" s="669"/>
      <c r="I186" s="669"/>
    </row>
    <row r="187" spans="1:9" x14ac:dyDescent="0.25">
      <c r="A187" s="669"/>
      <c r="B187" s="669"/>
      <c r="C187" s="669"/>
      <c r="D187" s="669"/>
      <c r="E187" s="669"/>
      <c r="F187" s="669"/>
      <c r="G187" s="669"/>
      <c r="H187" s="669"/>
      <c r="I187" s="669"/>
    </row>
    <row r="188" spans="1:9" x14ac:dyDescent="0.25">
      <c r="A188" s="669"/>
      <c r="B188" s="669"/>
      <c r="C188" s="669"/>
      <c r="D188" s="669"/>
      <c r="E188" s="669"/>
      <c r="F188" s="669"/>
      <c r="G188" s="669"/>
      <c r="H188" s="669"/>
      <c r="I188" s="669"/>
    </row>
    <row r="189" spans="1:9" x14ac:dyDescent="0.25">
      <c r="A189" s="669"/>
      <c r="B189" s="669"/>
      <c r="C189" s="669"/>
      <c r="D189" s="669"/>
      <c r="E189" s="669"/>
      <c r="F189" s="669"/>
      <c r="G189" s="669"/>
      <c r="H189" s="669"/>
      <c r="I189" s="669"/>
    </row>
    <row r="190" spans="1:9" x14ac:dyDescent="0.25">
      <c r="A190" s="669"/>
      <c r="B190" s="669"/>
      <c r="C190" s="669"/>
      <c r="D190" s="669"/>
      <c r="E190" s="669"/>
      <c r="F190" s="669"/>
      <c r="G190" s="669"/>
      <c r="H190" s="669"/>
      <c r="I190" s="669"/>
    </row>
    <row r="191" spans="1:9" x14ac:dyDescent="0.25">
      <c r="A191" s="669"/>
      <c r="B191" s="669"/>
      <c r="C191" s="669"/>
      <c r="D191" s="669"/>
      <c r="E191" s="669"/>
      <c r="F191" s="669"/>
      <c r="G191" s="669"/>
      <c r="H191" s="669"/>
      <c r="I191" s="669"/>
    </row>
    <row r="192" spans="1:9" x14ac:dyDescent="0.25">
      <c r="A192" s="669"/>
      <c r="B192" s="669"/>
      <c r="C192" s="669"/>
      <c r="D192" s="669"/>
      <c r="E192" s="669"/>
      <c r="F192" s="669"/>
      <c r="G192" s="669"/>
      <c r="H192" s="669"/>
      <c r="I192" s="669"/>
    </row>
    <row r="193" spans="1:9" x14ac:dyDescent="0.25">
      <c r="A193" s="669"/>
      <c r="B193" s="669"/>
      <c r="C193" s="669"/>
      <c r="D193" s="669"/>
      <c r="E193" s="669"/>
      <c r="F193" s="669"/>
      <c r="G193" s="669"/>
      <c r="H193" s="669"/>
      <c r="I193" s="669"/>
    </row>
    <row r="194" spans="1:9" x14ac:dyDescent="0.25">
      <c r="A194" s="669"/>
      <c r="B194" s="669"/>
      <c r="C194" s="669"/>
      <c r="D194" s="669"/>
      <c r="E194" s="669"/>
      <c r="F194" s="669"/>
      <c r="G194" s="669"/>
      <c r="H194" s="669"/>
      <c r="I194" s="669"/>
    </row>
    <row r="195" spans="1:9" x14ac:dyDescent="0.25">
      <c r="A195" s="669"/>
      <c r="B195" s="669"/>
      <c r="C195" s="669"/>
      <c r="D195" s="669"/>
      <c r="E195" s="669"/>
      <c r="F195" s="669"/>
      <c r="G195" s="669"/>
      <c r="H195" s="669"/>
      <c r="I195" s="669"/>
    </row>
    <row r="196" spans="1:9" x14ac:dyDescent="0.25">
      <c r="A196" s="669"/>
      <c r="B196" s="669"/>
      <c r="C196" s="669"/>
      <c r="D196" s="669"/>
      <c r="E196" s="669"/>
      <c r="F196" s="669"/>
      <c r="G196" s="669"/>
      <c r="H196" s="669"/>
      <c r="I196" s="669"/>
    </row>
    <row r="197" spans="1:9" x14ac:dyDescent="0.25">
      <c r="A197" s="669"/>
      <c r="B197" s="669"/>
      <c r="C197" s="669"/>
      <c r="D197" s="669"/>
      <c r="E197" s="669"/>
      <c r="F197" s="669"/>
      <c r="G197" s="669"/>
      <c r="H197" s="669"/>
      <c r="I197" s="669"/>
    </row>
    <row r="198" spans="1:9" x14ac:dyDescent="0.25">
      <c r="A198" s="669"/>
      <c r="B198" s="669"/>
      <c r="C198" s="669"/>
      <c r="D198" s="669"/>
      <c r="E198" s="669"/>
      <c r="F198" s="669"/>
      <c r="G198" s="669"/>
      <c r="H198" s="669"/>
      <c r="I198" s="669"/>
    </row>
    <row r="199" spans="1:9" x14ac:dyDescent="0.25">
      <c r="A199" s="669"/>
      <c r="B199" s="669"/>
      <c r="C199" s="669"/>
      <c r="D199" s="669"/>
      <c r="E199" s="669"/>
      <c r="F199" s="669"/>
      <c r="G199" s="669"/>
      <c r="H199" s="669"/>
      <c r="I199" s="669"/>
    </row>
    <row r="200" spans="1:9" x14ac:dyDescent="0.25">
      <c r="A200" s="669"/>
      <c r="B200" s="669"/>
      <c r="C200" s="669"/>
      <c r="D200" s="669"/>
      <c r="E200" s="669"/>
      <c r="F200" s="669"/>
      <c r="G200" s="669"/>
      <c r="H200" s="669"/>
      <c r="I200" s="669"/>
    </row>
    <row r="201" spans="1:9" x14ac:dyDescent="0.25">
      <c r="A201" s="669"/>
      <c r="B201" s="669"/>
      <c r="C201" s="669"/>
      <c r="D201" s="669"/>
      <c r="E201" s="669"/>
      <c r="F201" s="669"/>
      <c r="G201" s="669"/>
      <c r="H201" s="669"/>
      <c r="I201" s="669"/>
    </row>
    <row r="202" spans="1:9" x14ac:dyDescent="0.25">
      <c r="A202" s="669"/>
      <c r="B202" s="669"/>
      <c r="C202" s="669"/>
      <c r="D202" s="669"/>
      <c r="E202" s="669"/>
      <c r="F202" s="669"/>
      <c r="G202" s="669"/>
      <c r="H202" s="669"/>
      <c r="I202" s="669"/>
    </row>
    <row r="203" spans="1:9" x14ac:dyDescent="0.25">
      <c r="A203" s="669"/>
      <c r="B203" s="669"/>
      <c r="C203" s="669"/>
      <c r="D203" s="669"/>
      <c r="E203" s="669"/>
      <c r="F203" s="669"/>
      <c r="G203" s="669"/>
      <c r="H203" s="669"/>
      <c r="I203" s="669"/>
    </row>
    <row r="204" spans="1:9" x14ac:dyDescent="0.25">
      <c r="A204" s="669"/>
      <c r="B204" s="669"/>
      <c r="C204" s="669"/>
      <c r="D204" s="669"/>
      <c r="E204" s="669"/>
      <c r="F204" s="669"/>
      <c r="G204" s="669"/>
      <c r="H204" s="669"/>
      <c r="I204" s="669"/>
    </row>
    <row r="205" spans="1:9" x14ac:dyDescent="0.25">
      <c r="A205" s="669"/>
      <c r="B205" s="669"/>
      <c r="C205" s="669"/>
      <c r="D205" s="669"/>
      <c r="E205" s="669"/>
      <c r="F205" s="669"/>
      <c r="G205" s="669"/>
      <c r="H205" s="669"/>
      <c r="I205" s="669"/>
    </row>
    <row r="206" spans="1:9" x14ac:dyDescent="0.25">
      <c r="A206" s="669"/>
      <c r="B206" s="669"/>
      <c r="C206" s="669"/>
      <c r="D206" s="669"/>
      <c r="E206" s="669"/>
      <c r="F206" s="669"/>
      <c r="G206" s="669"/>
      <c r="H206" s="669"/>
      <c r="I206" s="669"/>
    </row>
    <row r="207" spans="1:9" x14ac:dyDescent="0.25">
      <c r="A207" s="669"/>
      <c r="B207" s="669"/>
      <c r="C207" s="669"/>
      <c r="D207" s="669"/>
      <c r="E207" s="669"/>
      <c r="F207" s="669"/>
      <c r="G207" s="669"/>
      <c r="H207" s="669"/>
      <c r="I207" s="669"/>
    </row>
    <row r="208" spans="1:9" x14ac:dyDescent="0.25">
      <c r="A208" s="669"/>
      <c r="B208" s="669"/>
      <c r="C208" s="669"/>
      <c r="D208" s="669"/>
      <c r="E208" s="669"/>
      <c r="F208" s="669"/>
      <c r="G208" s="669"/>
      <c r="H208" s="669"/>
      <c r="I208" s="669"/>
    </row>
    <row r="209" spans="1:9" x14ac:dyDescent="0.25">
      <c r="A209" s="669"/>
      <c r="B209" s="669"/>
      <c r="C209" s="669"/>
      <c r="D209" s="669"/>
      <c r="E209" s="669"/>
      <c r="F209" s="669"/>
      <c r="G209" s="669"/>
      <c r="H209" s="669"/>
      <c r="I209" s="669"/>
    </row>
    <row r="210" spans="1:9" x14ac:dyDescent="0.25">
      <c r="A210" s="669"/>
      <c r="B210" s="669"/>
      <c r="C210" s="669"/>
      <c r="D210" s="669"/>
      <c r="E210" s="669"/>
      <c r="F210" s="669"/>
      <c r="G210" s="669"/>
      <c r="H210" s="669"/>
      <c r="I210" s="669"/>
    </row>
    <row r="211" spans="1:9" x14ac:dyDescent="0.25">
      <c r="A211" s="669"/>
      <c r="B211" s="669"/>
      <c r="C211" s="669"/>
      <c r="D211" s="669"/>
      <c r="E211" s="669"/>
      <c r="F211" s="669"/>
      <c r="G211" s="669"/>
      <c r="H211" s="669"/>
      <c r="I211" s="669"/>
    </row>
    <row r="212" spans="1:9" x14ac:dyDescent="0.25">
      <c r="A212" s="669"/>
      <c r="B212" s="669"/>
      <c r="C212" s="669"/>
      <c r="D212" s="669"/>
      <c r="E212" s="669"/>
      <c r="F212" s="669"/>
      <c r="G212" s="669"/>
      <c r="H212" s="669"/>
      <c r="I212" s="669"/>
    </row>
    <row r="213" spans="1:9" x14ac:dyDescent="0.25">
      <c r="A213" s="669"/>
      <c r="B213" s="669"/>
      <c r="C213" s="669"/>
      <c r="D213" s="669"/>
      <c r="E213" s="669"/>
      <c r="F213" s="669"/>
      <c r="G213" s="669"/>
      <c r="H213" s="669"/>
      <c r="I213" s="669"/>
    </row>
    <row r="214" spans="1:9" x14ac:dyDescent="0.25">
      <c r="A214" s="669"/>
      <c r="B214" s="669"/>
      <c r="C214" s="669"/>
      <c r="D214" s="669"/>
      <c r="E214" s="669"/>
      <c r="F214" s="669"/>
      <c r="G214" s="669"/>
      <c r="H214" s="669"/>
      <c r="I214" s="669"/>
    </row>
  </sheetData>
  <mergeCells count="51">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A174:I214"/>
    <mergeCell ref="I129:O129"/>
    <mergeCell ref="A131:B138"/>
    <mergeCell ref="A140:A141"/>
    <mergeCell ref="B140:B141"/>
    <mergeCell ref="C140:C141"/>
    <mergeCell ref="D140:G140"/>
    <mergeCell ref="H140:L14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opLeftCell="A55" workbookViewId="0">
      <selection activeCell="D29" sqref="D29"/>
    </sheetView>
  </sheetViews>
  <sheetFormatPr defaultColWidth="8.85546875" defaultRowHeight="15" x14ac:dyDescent="0.25"/>
  <cols>
    <col min="1" max="1" width="87.28515625" customWidth="1"/>
    <col min="2" max="2" width="47.855468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330</v>
      </c>
    </row>
    <row r="5" spans="1:17" s="2" customFormat="1" ht="15.75" x14ac:dyDescent="0.25">
      <c r="A5" s="239" t="s">
        <v>258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331</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6</v>
      </c>
      <c r="E16" s="34"/>
      <c r="F16" s="34"/>
      <c r="G16" s="35"/>
      <c r="H16" s="36">
        <f t="shared" si="0"/>
        <v>6</v>
      </c>
      <c r="I16" s="37">
        <v>2</v>
      </c>
      <c r="J16" s="34"/>
      <c r="K16" s="34"/>
      <c r="L16" s="34"/>
      <c r="M16" s="34"/>
      <c r="N16" s="34"/>
      <c r="O16" s="38"/>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6</v>
      </c>
      <c r="E19" s="52">
        <f>SUM(E12:E18)</f>
        <v>0</v>
      </c>
      <c r="F19" s="52">
        <f>SUM(F12:F18)</f>
        <v>0</v>
      </c>
      <c r="G19" s="53"/>
      <c r="H19" s="54">
        <f>SUM(D19:F19)</f>
        <v>6</v>
      </c>
      <c r="I19" s="85">
        <f>SUM(I12:I18)</f>
        <v>2</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332</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275</v>
      </c>
      <c r="E27" s="34"/>
      <c r="F27" s="34"/>
      <c r="G27" s="35"/>
      <c r="H27" s="36">
        <f t="shared" si="1"/>
        <v>275</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275</v>
      </c>
      <c r="E30" s="52">
        <f>SUM(E23:E29)</f>
        <v>0</v>
      </c>
      <c r="F30" s="52">
        <f>SUM(F23:F29)</f>
        <v>0</v>
      </c>
      <c r="G30" s="52">
        <f>SUM(G23:G29)</f>
        <v>0</v>
      </c>
      <c r="H30" s="54">
        <f t="shared" ref="H30" si="2">SUM(D30:F30)</f>
        <v>275</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333</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4</v>
      </c>
      <c r="E40" s="37">
        <v>4</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4</v>
      </c>
      <c r="E43" s="85">
        <f t="shared" ref="E43:J43" si="3">SUM(E36:E42)</f>
        <v>4</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334</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1</v>
      </c>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1</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335</v>
      </c>
      <c r="B96" s="535"/>
      <c r="C96" s="32">
        <v>2015</v>
      </c>
      <c r="D96" s="33"/>
      <c r="E96" s="413"/>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v>10</v>
      </c>
      <c r="F99" s="34"/>
      <c r="G99" s="144">
        <f t="shared" si="8"/>
        <v>10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10</v>
      </c>
      <c r="F102" s="52">
        <f>SUM(F95:F101)</f>
        <v>0</v>
      </c>
      <c r="G102" s="145">
        <f>SUM(G95:G101)</f>
        <v>10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336</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0</v>
      </c>
      <c r="E135" s="34">
        <v>4</v>
      </c>
      <c r="F135" s="34">
        <v>1</v>
      </c>
      <c r="G135" s="203">
        <f>SUM(D135:F135)</f>
        <v>5</v>
      </c>
      <c r="H135" s="101">
        <v>7</v>
      </c>
      <c r="I135" s="37">
        <v>5</v>
      </c>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0</v>
      </c>
      <c r="E138" s="52">
        <f>SUM(E131:E137)</f>
        <v>4</v>
      </c>
      <c r="F138" s="52">
        <f>SUM(F131:F137)</f>
        <v>1</v>
      </c>
      <c r="G138" s="205">
        <f t="shared" ref="G138:O138" si="13">SUM(G131:G137)</f>
        <v>5</v>
      </c>
      <c r="H138" s="206">
        <f t="shared" si="13"/>
        <v>7</v>
      </c>
      <c r="I138" s="85">
        <f t="shared" si="13"/>
        <v>5</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337</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c r="E146" s="34">
        <v>105</v>
      </c>
      <c r="F146" s="34">
        <v>34</v>
      </c>
      <c r="G146" s="214">
        <f t="shared" si="14"/>
        <v>139</v>
      </c>
      <c r="H146" s="37"/>
      <c r="I146" s="34"/>
      <c r="J146" s="34">
        <v>41</v>
      </c>
      <c r="K146" s="34">
        <v>139</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82.5" customHeight="1" thickBot="1" x14ac:dyDescent="0.3">
      <c r="A149" s="536"/>
      <c r="B149" s="537"/>
      <c r="C149" s="50" t="s">
        <v>14</v>
      </c>
      <c r="D149" s="51">
        <f t="shared" ref="D149:L149" si="15">SUM(D142:D148)</f>
        <v>0</v>
      </c>
      <c r="E149" s="52">
        <f t="shared" si="15"/>
        <v>105</v>
      </c>
      <c r="F149" s="52">
        <f t="shared" si="15"/>
        <v>34</v>
      </c>
      <c r="G149" s="54">
        <f t="shared" si="15"/>
        <v>139</v>
      </c>
      <c r="H149" s="85">
        <f t="shared" si="15"/>
        <v>0</v>
      </c>
      <c r="I149" s="52">
        <f t="shared" si="15"/>
        <v>0</v>
      </c>
      <c r="J149" s="52">
        <f t="shared" si="15"/>
        <v>41</v>
      </c>
      <c r="K149" s="52">
        <f t="shared" si="15"/>
        <v>139</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83" t="s">
        <v>338</v>
      </c>
      <c r="C166" s="230">
        <f>SUM(C167:C169)</f>
        <v>0</v>
      </c>
      <c r="D166" s="230">
        <f t="shared" ref="D166:I166" si="16">SUM(D167:D169)</f>
        <v>0</v>
      </c>
      <c r="E166" s="230">
        <f t="shared" si="16"/>
        <v>0</v>
      </c>
      <c r="F166" s="230">
        <f t="shared" si="16"/>
        <v>0</v>
      </c>
      <c r="G166" s="372">
        <f t="shared" si="16"/>
        <v>128852.04</v>
      </c>
      <c r="H166" s="230">
        <f t="shared" si="16"/>
        <v>0</v>
      </c>
      <c r="I166" s="231">
        <f t="shared" si="16"/>
        <v>0</v>
      </c>
    </row>
    <row r="167" spans="1:9" ht="15.75" x14ac:dyDescent="0.25">
      <c r="A167" s="232" t="s">
        <v>339</v>
      </c>
      <c r="B167" s="584"/>
      <c r="C167" s="78"/>
      <c r="D167" s="78"/>
      <c r="E167" s="78"/>
      <c r="F167" s="82"/>
      <c r="G167" s="289">
        <v>81477.78</v>
      </c>
      <c r="H167" s="78"/>
      <c r="I167" s="233"/>
    </row>
    <row r="168" spans="1:9" ht="15.75" x14ac:dyDescent="0.25">
      <c r="A168" s="232" t="s">
        <v>340</v>
      </c>
      <c r="B168" s="584"/>
      <c r="C168" s="78"/>
      <c r="D168" s="78"/>
      <c r="E168" s="78"/>
      <c r="F168" s="82"/>
      <c r="G168" s="289">
        <v>5712.93</v>
      </c>
      <c r="H168" s="78"/>
      <c r="I168" s="233"/>
    </row>
    <row r="169" spans="1:9" ht="15.75" x14ac:dyDescent="0.25">
      <c r="A169" s="232" t="s">
        <v>341</v>
      </c>
      <c r="B169" s="584"/>
      <c r="C169" s="78"/>
      <c r="D169" s="78"/>
      <c r="E169" s="78"/>
      <c r="F169" s="82"/>
      <c r="G169" s="289">
        <v>41661.33</v>
      </c>
      <c r="H169" s="78"/>
      <c r="I169" s="233"/>
    </row>
    <row r="170" spans="1:9" ht="31.5" x14ac:dyDescent="0.25">
      <c r="A170" s="234" t="s">
        <v>114</v>
      </c>
      <c r="B170" s="584"/>
      <c r="C170" s="78"/>
      <c r="D170" s="78"/>
      <c r="E170" s="78"/>
      <c r="F170" s="82"/>
      <c r="G170" s="453">
        <v>54843.919999999962</v>
      </c>
      <c r="H170" s="78"/>
      <c r="I170" s="233"/>
    </row>
    <row r="171" spans="1:9" ht="18.75" customHeight="1" x14ac:dyDescent="0.25">
      <c r="A171" s="658" t="s">
        <v>115</v>
      </c>
      <c r="B171" s="584"/>
      <c r="C171" s="649">
        <f t="shared" ref="C171:I171" si="17">C166+C170</f>
        <v>0</v>
      </c>
      <c r="D171" s="649">
        <f t="shared" si="17"/>
        <v>0</v>
      </c>
      <c r="E171" s="649">
        <f t="shared" si="17"/>
        <v>0</v>
      </c>
      <c r="F171" s="649">
        <f t="shared" si="17"/>
        <v>0</v>
      </c>
      <c r="G171" s="652">
        <f t="shared" si="17"/>
        <v>183695.95999999996</v>
      </c>
      <c r="H171" s="649">
        <f t="shared" si="17"/>
        <v>0</v>
      </c>
      <c r="I171" s="655">
        <f t="shared" si="17"/>
        <v>0</v>
      </c>
    </row>
    <row r="172" spans="1:9" ht="1.5" customHeight="1" x14ac:dyDescent="0.25">
      <c r="A172" s="658"/>
      <c r="B172" s="584"/>
      <c r="C172" s="650"/>
      <c r="D172" s="650"/>
      <c r="E172" s="650"/>
      <c r="F172" s="650"/>
      <c r="G172" s="653"/>
      <c r="H172" s="650"/>
      <c r="I172" s="656"/>
    </row>
    <row r="173" spans="1:9" ht="12.75" customHeight="1" thickBot="1" x14ac:dyDescent="0.3">
      <c r="A173" s="659"/>
      <c r="B173" s="585"/>
      <c r="C173" s="651"/>
      <c r="D173" s="651"/>
      <c r="E173" s="651"/>
      <c r="F173" s="651"/>
      <c r="G173" s="654"/>
      <c r="H173" s="651"/>
      <c r="I173" s="657"/>
    </row>
  </sheetData>
  <mergeCells count="58">
    <mergeCell ref="H171:H173"/>
    <mergeCell ref="I171:I173"/>
    <mergeCell ref="D171:D173"/>
    <mergeCell ref="I129:O129"/>
    <mergeCell ref="A131:B138"/>
    <mergeCell ref="A140:A141"/>
    <mergeCell ref="B140:B141"/>
    <mergeCell ref="C140:C141"/>
    <mergeCell ref="D140:G140"/>
    <mergeCell ref="H140:L140"/>
    <mergeCell ref="A142:B149"/>
    <mergeCell ref="A155:B162"/>
    <mergeCell ref="B166:B173"/>
    <mergeCell ref="A171:A173"/>
    <mergeCell ref="C171:C173"/>
    <mergeCell ref="E171:E173"/>
    <mergeCell ref="F171:F173"/>
    <mergeCell ref="G171:G173"/>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9"/>
  <sheetViews>
    <sheetView topLeftCell="A55" workbookViewId="0">
      <selection activeCell="B166" sqref="B166:B171"/>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6" width="15" customWidth="1"/>
    <col min="17" max="17" width="14.42578125" customWidth="1"/>
    <col min="18" max="18" width="12" customWidth="1"/>
    <col min="19" max="19" width="13.5703125" customWidth="1"/>
    <col min="20" max="20" width="13.85546875" customWidth="1"/>
  </cols>
  <sheetData>
    <row r="1" spans="1:21" s="1" customFormat="1" ht="31.5" x14ac:dyDescent="0.5">
      <c r="A1" s="1" t="s">
        <v>0</v>
      </c>
    </row>
    <row r="2" spans="1:21" s="2" customFormat="1" ht="15.75" x14ac:dyDescent="0.25"/>
    <row r="3" spans="1:21" s="2" customFormat="1" ht="15.75" x14ac:dyDescent="0.25">
      <c r="A3" s="3" t="s">
        <v>1</v>
      </c>
    </row>
    <row r="4" spans="1:21" s="2" customFormat="1" ht="15.75" x14ac:dyDescent="0.25">
      <c r="A4" s="4" t="s">
        <v>342</v>
      </c>
    </row>
    <row r="5" spans="1:21" s="2" customFormat="1" ht="15.75" x14ac:dyDescent="0.25">
      <c r="A5" s="239" t="s">
        <v>343</v>
      </c>
    </row>
    <row r="6" spans="1:21" s="2" customFormat="1" ht="15.75" x14ac:dyDescent="0.25"/>
    <row r="8" spans="1:21" ht="21" x14ac:dyDescent="0.35">
      <c r="A8" s="6" t="s">
        <v>4</v>
      </c>
      <c r="B8" s="7"/>
      <c r="C8" s="8"/>
      <c r="D8" s="8"/>
      <c r="E8" s="8"/>
      <c r="F8" s="8"/>
      <c r="G8" s="8"/>
      <c r="H8" s="8"/>
      <c r="I8" s="8"/>
      <c r="J8" s="8"/>
      <c r="K8" s="8"/>
      <c r="L8" s="8"/>
      <c r="M8" s="8"/>
      <c r="N8" s="8"/>
      <c r="O8" s="9"/>
    </row>
    <row r="9" spans="1:21" ht="15.75" thickBot="1" x14ac:dyDescent="0.3">
      <c r="B9" s="10"/>
      <c r="O9" s="11"/>
      <c r="P9" s="11"/>
    </row>
    <row r="10" spans="1:21" s="20" customFormat="1" ht="18.75" x14ac:dyDescent="0.3">
      <c r="A10" s="12"/>
      <c r="B10" s="530" t="s">
        <v>5</v>
      </c>
      <c r="C10" s="532" t="s">
        <v>6</v>
      </c>
      <c r="D10" s="13"/>
      <c r="E10" s="14"/>
      <c r="F10" s="15" t="s">
        <v>7</v>
      </c>
      <c r="G10" s="16"/>
      <c r="H10" s="17"/>
      <c r="I10" s="18" t="s">
        <v>128</v>
      </c>
      <c r="J10" s="14"/>
      <c r="K10" s="14"/>
      <c r="L10" s="14"/>
      <c r="M10" s="14"/>
      <c r="N10" s="14"/>
      <c r="O10" s="19"/>
      <c r="P10" s="11"/>
      <c r="Q10" s="11"/>
    </row>
    <row r="11" spans="1:21"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21" ht="15" customHeight="1" x14ac:dyDescent="0.25">
      <c r="A12" s="534" t="s">
        <v>35</v>
      </c>
      <c r="B12" s="535"/>
      <c r="C12" s="32">
        <v>2014</v>
      </c>
      <c r="D12" s="33"/>
      <c r="E12" s="34"/>
      <c r="F12" s="34"/>
      <c r="G12" s="35"/>
      <c r="H12" s="36">
        <f>SUM(D12:G12)</f>
        <v>0</v>
      </c>
      <c r="I12" s="37"/>
      <c r="J12" s="34"/>
      <c r="K12" s="34"/>
      <c r="L12" s="34"/>
      <c r="M12" s="34"/>
      <c r="N12" s="34"/>
      <c r="O12" s="38"/>
      <c r="P12" s="11"/>
      <c r="Q12" s="11"/>
    </row>
    <row r="13" spans="1:21" x14ac:dyDescent="0.25">
      <c r="A13" s="534"/>
      <c r="B13" s="535"/>
      <c r="C13" s="32">
        <v>2015</v>
      </c>
      <c r="D13" s="33"/>
      <c r="E13" s="34"/>
      <c r="F13" s="34"/>
      <c r="G13" s="35"/>
      <c r="H13" s="36">
        <f t="shared" ref="H13:H18" si="0">SUM(D13:G13)</f>
        <v>0</v>
      </c>
      <c r="I13" s="37"/>
      <c r="J13" s="34"/>
      <c r="K13" s="34"/>
      <c r="L13" s="34"/>
      <c r="M13" s="34"/>
      <c r="N13" s="34"/>
      <c r="O13" s="38"/>
      <c r="P13" s="11"/>
      <c r="Q13" s="670"/>
      <c r="R13" s="670"/>
      <c r="S13" s="670"/>
      <c r="T13" s="670"/>
    </row>
    <row r="14" spans="1:21" x14ac:dyDescent="0.25">
      <c r="A14" s="534"/>
      <c r="B14" s="535"/>
      <c r="C14" s="32">
        <v>2016</v>
      </c>
      <c r="D14" s="33"/>
      <c r="E14" s="34"/>
      <c r="F14" s="34"/>
      <c r="G14" s="35"/>
      <c r="H14" s="36">
        <f t="shared" si="0"/>
        <v>0</v>
      </c>
      <c r="I14" s="37"/>
      <c r="J14" s="34"/>
      <c r="K14" s="34"/>
      <c r="L14" s="34"/>
      <c r="M14" s="34"/>
      <c r="N14" s="34"/>
      <c r="O14" s="38"/>
      <c r="P14" s="11"/>
      <c r="Q14" s="671"/>
      <c r="R14" s="671"/>
      <c r="S14" s="671"/>
      <c r="T14" s="671"/>
    </row>
    <row r="15" spans="1:21" x14ac:dyDescent="0.25">
      <c r="A15" s="534"/>
      <c r="B15" s="535"/>
      <c r="C15" s="32">
        <v>2017</v>
      </c>
      <c r="D15" s="39"/>
      <c r="E15" s="40"/>
      <c r="F15" s="40"/>
      <c r="G15" s="41"/>
      <c r="H15" s="36">
        <f t="shared" si="0"/>
        <v>0</v>
      </c>
      <c r="I15" s="42"/>
      <c r="J15" s="40"/>
      <c r="K15" s="40"/>
      <c r="L15" s="40"/>
      <c r="M15" s="40"/>
      <c r="N15" s="40"/>
      <c r="O15" s="43"/>
      <c r="P15" s="11"/>
      <c r="Q15" s="671"/>
      <c r="R15" s="671"/>
      <c r="S15" s="671"/>
      <c r="T15" s="671"/>
      <c r="U15" s="671"/>
    </row>
    <row r="16" spans="1:21" ht="13.5" customHeight="1" x14ac:dyDescent="0.25">
      <c r="A16" s="534"/>
      <c r="B16" s="535"/>
      <c r="C16" s="32">
        <v>2018</v>
      </c>
      <c r="D16" s="33">
        <v>3</v>
      </c>
      <c r="E16" s="34"/>
      <c r="F16" s="34"/>
      <c r="G16" s="35">
        <v>1</v>
      </c>
      <c r="H16" s="36">
        <f t="shared" si="0"/>
        <v>4</v>
      </c>
      <c r="I16" s="37">
        <v>4</v>
      </c>
      <c r="J16" s="34"/>
      <c r="K16" s="34"/>
      <c r="L16" s="34"/>
      <c r="M16" s="34"/>
      <c r="N16" s="34"/>
      <c r="O16" s="38"/>
      <c r="P16" s="11"/>
      <c r="Q16" s="672"/>
      <c r="R16" s="672"/>
      <c r="S16" s="672"/>
      <c r="T16" s="672"/>
    </row>
    <row r="17" spans="1:20" x14ac:dyDescent="0.25">
      <c r="A17" s="534"/>
      <c r="B17" s="535"/>
      <c r="C17" s="32">
        <v>2019</v>
      </c>
      <c r="D17" s="33"/>
      <c r="E17" s="34"/>
      <c r="F17" s="34"/>
      <c r="G17" s="35"/>
      <c r="H17" s="36">
        <f t="shared" si="0"/>
        <v>0</v>
      </c>
      <c r="I17" s="37"/>
      <c r="J17" s="34"/>
      <c r="K17" s="34"/>
      <c r="L17" s="34"/>
      <c r="M17" s="34"/>
      <c r="N17" s="34"/>
      <c r="O17" s="38"/>
      <c r="P17" s="11"/>
      <c r="Q17" s="672"/>
      <c r="R17" s="672"/>
      <c r="S17" s="672"/>
      <c r="T17" s="672"/>
    </row>
    <row r="18" spans="1:20" x14ac:dyDescent="0.25">
      <c r="A18" s="534"/>
      <c r="B18" s="535"/>
      <c r="C18" s="32">
        <v>2020</v>
      </c>
      <c r="D18" s="33"/>
      <c r="E18" s="34"/>
      <c r="F18" s="34"/>
      <c r="G18" s="35"/>
      <c r="H18" s="36">
        <f t="shared" si="0"/>
        <v>0</v>
      </c>
      <c r="I18" s="37"/>
      <c r="J18" s="34"/>
      <c r="K18" s="34"/>
      <c r="L18" s="34"/>
      <c r="M18" s="34"/>
      <c r="N18" s="34"/>
      <c r="O18" s="38"/>
      <c r="P18" s="11"/>
      <c r="Q18" s="454"/>
      <c r="R18" s="454"/>
      <c r="S18" s="454"/>
      <c r="T18" s="454"/>
    </row>
    <row r="19" spans="1:20" ht="77.25" customHeight="1" thickBot="1" x14ac:dyDescent="0.3">
      <c r="A19" s="536"/>
      <c r="B19" s="537"/>
      <c r="C19" s="50" t="s">
        <v>14</v>
      </c>
      <c r="D19" s="51">
        <f>SUM(D12:D18)</f>
        <v>3</v>
      </c>
      <c r="E19" s="52">
        <f>SUM(E12:E18)</f>
        <v>0</v>
      </c>
      <c r="F19" s="52">
        <f>SUM(F12:F18)</f>
        <v>0</v>
      </c>
      <c r="G19" s="53"/>
      <c r="H19" s="54">
        <f>SUM(D19:F19)</f>
        <v>3</v>
      </c>
      <c r="I19" s="85">
        <f>SUM(I12:I18)</f>
        <v>4</v>
      </c>
      <c r="J19" s="52"/>
      <c r="K19" s="52">
        <f>SUM(K12:K18)</f>
        <v>0</v>
      </c>
      <c r="L19" s="52">
        <f>SUM(L12:L18)</f>
        <v>0</v>
      </c>
      <c r="M19" s="52">
        <f>SUM(M12:M18)</f>
        <v>0</v>
      </c>
      <c r="N19" s="52">
        <f>SUM(N12:N18)</f>
        <v>0</v>
      </c>
      <c r="O19" s="86">
        <f>SUM(O12:O18)</f>
        <v>0</v>
      </c>
      <c r="P19" s="11"/>
      <c r="Q19" s="11"/>
    </row>
    <row r="20" spans="1:20" ht="15.75" thickBot="1" x14ac:dyDescent="0.3">
      <c r="B20" s="10"/>
      <c r="D20" s="58"/>
      <c r="O20" s="11"/>
      <c r="P20" s="11"/>
    </row>
    <row r="21" spans="1:20" s="20" customFormat="1" ht="18.75" x14ac:dyDescent="0.3">
      <c r="A21" s="12"/>
      <c r="B21" s="59"/>
      <c r="C21" s="532" t="s">
        <v>6</v>
      </c>
      <c r="D21" s="13"/>
      <c r="E21" s="14"/>
      <c r="F21" s="15" t="s">
        <v>7</v>
      </c>
      <c r="G21" s="16"/>
      <c r="H21" s="17"/>
    </row>
    <row r="22" spans="1:20" s="11" customFormat="1" ht="44.25" customHeight="1" x14ac:dyDescent="0.3">
      <c r="A22" s="60" t="s">
        <v>22</v>
      </c>
      <c r="B22" s="404" t="s">
        <v>23</v>
      </c>
      <c r="C22" s="533"/>
      <c r="D22" s="62" t="s">
        <v>10</v>
      </c>
      <c r="E22" s="63" t="s">
        <v>11</v>
      </c>
      <c r="F22" s="63" t="s">
        <v>12</v>
      </c>
      <c r="G22" s="64" t="s">
        <v>13</v>
      </c>
      <c r="H22" s="25" t="s">
        <v>14</v>
      </c>
    </row>
    <row r="23" spans="1:20" ht="15" customHeight="1" x14ac:dyDescent="0.25">
      <c r="A23" s="534" t="s">
        <v>344</v>
      </c>
      <c r="B23" s="535"/>
      <c r="C23" s="32">
        <v>2014</v>
      </c>
      <c r="D23" s="33"/>
      <c r="E23" s="34"/>
      <c r="F23" s="34"/>
      <c r="G23" s="35"/>
      <c r="H23" s="36">
        <f>SUM(D23:G23)</f>
        <v>0</v>
      </c>
    </row>
    <row r="24" spans="1:20" x14ac:dyDescent="0.25">
      <c r="A24" s="534"/>
      <c r="B24" s="535"/>
      <c r="C24" s="32">
        <v>2015</v>
      </c>
      <c r="D24" s="33"/>
      <c r="E24" s="34"/>
      <c r="F24" s="34"/>
      <c r="G24" s="35"/>
      <c r="H24" s="36">
        <f t="shared" ref="H24:H29" si="1">SUM(D24:G24)</f>
        <v>0</v>
      </c>
    </row>
    <row r="25" spans="1:20" x14ac:dyDescent="0.25">
      <c r="A25" s="534"/>
      <c r="B25" s="535"/>
      <c r="C25" s="32">
        <v>2016</v>
      </c>
      <c r="D25" s="33"/>
      <c r="E25" s="34"/>
      <c r="F25" s="34"/>
      <c r="G25" s="35"/>
      <c r="H25" s="36">
        <f t="shared" si="1"/>
        <v>0</v>
      </c>
      <c r="I25" s="670"/>
      <c r="J25" s="670"/>
      <c r="K25" s="670"/>
      <c r="L25" s="670"/>
    </row>
    <row r="26" spans="1:20" x14ac:dyDescent="0.25">
      <c r="A26" s="534"/>
      <c r="B26" s="535"/>
      <c r="C26" s="32">
        <v>2017</v>
      </c>
      <c r="D26" s="39"/>
      <c r="E26" s="40"/>
      <c r="F26" s="40"/>
      <c r="G26" s="41"/>
      <c r="H26" s="36">
        <f t="shared" si="1"/>
        <v>0</v>
      </c>
      <c r="I26" s="671"/>
      <c r="J26" s="671"/>
      <c r="K26" s="671"/>
      <c r="L26" s="671"/>
    </row>
    <row r="27" spans="1:20" x14ac:dyDescent="0.25">
      <c r="A27" s="534"/>
      <c r="B27" s="535"/>
      <c r="C27" s="32">
        <v>2018</v>
      </c>
      <c r="D27" s="33">
        <v>369</v>
      </c>
      <c r="E27" s="34"/>
      <c r="F27" s="34"/>
      <c r="G27" s="35"/>
      <c r="H27" s="36">
        <f t="shared" si="1"/>
        <v>369</v>
      </c>
      <c r="I27" s="671"/>
      <c r="J27" s="671"/>
      <c r="K27" s="671"/>
      <c r="L27" s="671"/>
      <c r="M27" s="671"/>
    </row>
    <row r="28" spans="1:20" x14ac:dyDescent="0.25">
      <c r="A28" s="534"/>
      <c r="B28" s="535"/>
      <c r="C28" s="32">
        <v>2019</v>
      </c>
      <c r="D28" s="33"/>
      <c r="E28" s="34"/>
      <c r="F28" s="34"/>
      <c r="G28" s="35"/>
      <c r="H28" s="36">
        <f t="shared" si="1"/>
        <v>0</v>
      </c>
      <c r="I28" s="672"/>
      <c r="J28" s="672"/>
      <c r="K28" s="672"/>
      <c r="L28" s="672"/>
    </row>
    <row r="29" spans="1:20" x14ac:dyDescent="0.25">
      <c r="A29" s="534"/>
      <c r="B29" s="535"/>
      <c r="C29" s="32">
        <v>2020</v>
      </c>
      <c r="D29" s="33"/>
      <c r="E29" s="34"/>
      <c r="F29" s="34"/>
      <c r="G29" s="35"/>
      <c r="H29" s="36">
        <f t="shared" si="1"/>
        <v>0</v>
      </c>
    </row>
    <row r="30" spans="1:20" ht="24" customHeight="1" thickBot="1" x14ac:dyDescent="0.3">
      <c r="A30" s="536"/>
      <c r="B30" s="537"/>
      <c r="C30" s="50" t="s">
        <v>14</v>
      </c>
      <c r="D30" s="51">
        <f>SUM(D23:D29)</f>
        <v>369</v>
      </c>
      <c r="E30" s="52">
        <f>SUM(E23:E29)</f>
        <v>0</v>
      </c>
      <c r="F30" s="52">
        <f>SUM(F23:F29)</f>
        <v>0</v>
      </c>
      <c r="G30" s="52">
        <f>SUM(G23:G29)</f>
        <v>0</v>
      </c>
      <c r="H30" s="54">
        <f t="shared" ref="H30" si="2">SUM(D30:F30)</f>
        <v>369</v>
      </c>
    </row>
    <row r="31" spans="1:20" x14ac:dyDescent="0.25">
      <c r="A31" s="65"/>
      <c r="B31" s="66"/>
      <c r="D31" s="58"/>
    </row>
    <row r="32" spans="1:20"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3</v>
      </c>
      <c r="E40" s="37">
        <v>3</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3</v>
      </c>
      <c r="E43" s="85">
        <f t="shared" ref="E43:J43" si="3">SUM(E36:E42)</f>
        <v>3</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35</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c r="E67" s="34"/>
      <c r="F67" s="122"/>
      <c r="G67" s="123"/>
      <c r="H67" s="123"/>
      <c r="I67" s="123"/>
      <c r="J67" s="123"/>
      <c r="K67" s="123"/>
      <c r="L67" s="124"/>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0</v>
      </c>
      <c r="E70" s="52">
        <f t="shared" si="5"/>
        <v>0</v>
      </c>
      <c r="F70" s="128">
        <f t="shared" si="5"/>
        <v>0</v>
      </c>
      <c r="G70" s="129">
        <f t="shared" si="5"/>
        <v>0</v>
      </c>
      <c r="H70" s="129">
        <f t="shared" si="5"/>
        <v>0</v>
      </c>
      <c r="I70" s="129">
        <f t="shared" si="5"/>
        <v>0</v>
      </c>
      <c r="J70" s="129">
        <f t="shared" si="5"/>
        <v>0</v>
      </c>
      <c r="K70" s="129">
        <f t="shared" si="5"/>
        <v>0</v>
      </c>
      <c r="L70" s="130">
        <f>SUM(L63:L69)</f>
        <v>0</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05" t="s">
        <v>6</v>
      </c>
      <c r="D94" s="139" t="s">
        <v>51</v>
      </c>
      <c r="E94" s="140"/>
      <c r="F94" s="140"/>
      <c r="G94" s="141"/>
      <c r="H94" s="11"/>
      <c r="I94" s="11"/>
      <c r="J94" s="11"/>
      <c r="K94" s="11"/>
      <c r="O94" s="9"/>
      <c r="P94" s="9"/>
    </row>
    <row r="95" spans="1:17" s="9" customFormat="1" ht="64.5" x14ac:dyDescent="0.25">
      <c r="A95" s="559"/>
      <c r="B95" s="561"/>
      <c r="C95" s="406"/>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c r="E99" s="34"/>
      <c r="F99" s="34"/>
      <c r="G99" s="144">
        <f t="shared" si="8"/>
        <v>0</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0</v>
      </c>
      <c r="E102" s="52">
        <f>SUM(E95:E101)</f>
        <v>0</v>
      </c>
      <c r="F102" s="52">
        <f>SUM(F95:F101)</f>
        <v>0</v>
      </c>
      <c r="G102" s="145">
        <f>SUM(G95:G101)</f>
        <v>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23"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23"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23"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c r="T131" s="455"/>
    </row>
    <row r="132" spans="1:23" x14ac:dyDescent="0.25">
      <c r="A132" s="589"/>
      <c r="B132" s="590"/>
      <c r="C132" s="32">
        <v>2015</v>
      </c>
      <c r="D132" s="33"/>
      <c r="E132" s="34"/>
      <c r="F132" s="34"/>
      <c r="G132" s="203">
        <f t="shared" si="12"/>
        <v>0</v>
      </c>
      <c r="H132" s="101"/>
      <c r="I132" s="37"/>
      <c r="J132" s="34"/>
      <c r="K132" s="34"/>
      <c r="L132" s="34"/>
      <c r="M132" s="34"/>
      <c r="N132" s="34"/>
      <c r="O132" s="38"/>
      <c r="T132" s="455"/>
    </row>
    <row r="133" spans="1:23" x14ac:dyDescent="0.25">
      <c r="A133" s="589"/>
      <c r="B133" s="590"/>
      <c r="C133" s="32">
        <v>2016</v>
      </c>
      <c r="D133" s="33"/>
      <c r="E133" s="34"/>
      <c r="F133" s="34"/>
      <c r="G133" s="203">
        <f t="shared" si="12"/>
        <v>0</v>
      </c>
      <c r="H133" s="101"/>
      <c r="I133" s="37"/>
      <c r="J133" s="34"/>
      <c r="K133" s="34"/>
      <c r="L133" s="34"/>
      <c r="M133" s="34"/>
      <c r="N133" s="34"/>
      <c r="O133" s="38"/>
      <c r="T133" s="455"/>
    </row>
    <row r="134" spans="1:23" x14ac:dyDescent="0.25">
      <c r="A134" s="589"/>
      <c r="B134" s="590"/>
      <c r="C134" s="32">
        <v>2017</v>
      </c>
      <c r="D134" s="39"/>
      <c r="E134" s="40"/>
      <c r="F134" s="40"/>
      <c r="G134" s="203">
        <f t="shared" si="12"/>
        <v>0</v>
      </c>
      <c r="H134" s="101"/>
      <c r="I134" s="42"/>
      <c r="J134" s="40"/>
      <c r="K134" s="40"/>
      <c r="L134" s="40"/>
      <c r="M134" s="40"/>
      <c r="N134" s="40"/>
      <c r="O134" s="43"/>
      <c r="T134" s="455"/>
    </row>
    <row r="135" spans="1:23" x14ac:dyDescent="0.25">
      <c r="A135" s="589"/>
      <c r="B135" s="590"/>
      <c r="C135" s="32">
        <v>2018</v>
      </c>
      <c r="D135" s="33">
        <v>2</v>
      </c>
      <c r="E135" s="34">
        <v>5</v>
      </c>
      <c r="F135" s="34"/>
      <c r="G135" s="203">
        <f t="shared" si="12"/>
        <v>7</v>
      </c>
      <c r="H135" s="101">
        <v>19</v>
      </c>
      <c r="I135" s="37">
        <v>7</v>
      </c>
      <c r="J135" s="34"/>
      <c r="K135" s="34"/>
      <c r="L135" s="34"/>
      <c r="M135" s="34"/>
      <c r="N135" s="34"/>
      <c r="O135" s="38"/>
      <c r="T135" s="455"/>
    </row>
    <row r="136" spans="1:23" x14ac:dyDescent="0.25">
      <c r="A136" s="589"/>
      <c r="B136" s="590"/>
      <c r="C136" s="32">
        <v>2019</v>
      </c>
      <c r="D136" s="33"/>
      <c r="E136" s="34"/>
      <c r="F136" s="34"/>
      <c r="G136" s="203">
        <f t="shared" si="12"/>
        <v>0</v>
      </c>
      <c r="H136" s="101"/>
      <c r="I136" s="37"/>
      <c r="J136" s="34"/>
      <c r="K136" s="34"/>
      <c r="L136" s="34"/>
      <c r="M136" s="34"/>
      <c r="N136" s="34"/>
      <c r="O136" s="38"/>
      <c r="T136" s="455"/>
    </row>
    <row r="137" spans="1:23" x14ac:dyDescent="0.25">
      <c r="A137" s="589"/>
      <c r="B137" s="590"/>
      <c r="C137" s="32">
        <v>2020</v>
      </c>
      <c r="D137" s="33"/>
      <c r="E137" s="34"/>
      <c r="F137" s="34"/>
      <c r="G137" s="203">
        <f t="shared" si="12"/>
        <v>0</v>
      </c>
      <c r="H137" s="101"/>
      <c r="I137" s="37"/>
      <c r="J137" s="34"/>
      <c r="K137" s="34"/>
      <c r="L137" s="34"/>
      <c r="M137" s="34"/>
      <c r="N137" s="34"/>
      <c r="O137" s="38"/>
      <c r="T137" s="455"/>
    </row>
    <row r="138" spans="1:23" ht="15.95" customHeight="1" thickBot="1" x14ac:dyDescent="0.3">
      <c r="A138" s="591"/>
      <c r="B138" s="592"/>
      <c r="C138" s="50" t="s">
        <v>14</v>
      </c>
      <c r="D138" s="51">
        <f>SUM(D131:D137)</f>
        <v>2</v>
      </c>
      <c r="E138" s="52">
        <f>SUM(E131:E137)</f>
        <v>5</v>
      </c>
      <c r="F138" s="52">
        <f>SUM(F131:F137)</f>
        <v>0</v>
      </c>
      <c r="G138" s="205">
        <f t="shared" ref="G138:O138" si="13">SUM(G131:G137)</f>
        <v>7</v>
      </c>
      <c r="H138" s="206">
        <f t="shared" si="13"/>
        <v>19</v>
      </c>
      <c r="I138" s="85">
        <f t="shared" si="13"/>
        <v>7</v>
      </c>
      <c r="J138" s="52">
        <f t="shared" si="13"/>
        <v>0</v>
      </c>
      <c r="K138" s="52">
        <f t="shared" si="13"/>
        <v>0</v>
      </c>
      <c r="L138" s="52">
        <f t="shared" si="13"/>
        <v>0</v>
      </c>
      <c r="M138" s="52">
        <f t="shared" si="13"/>
        <v>0</v>
      </c>
      <c r="N138" s="52">
        <f t="shared" si="13"/>
        <v>0</v>
      </c>
      <c r="O138" s="86">
        <f t="shared" si="13"/>
        <v>0</v>
      </c>
      <c r="T138" s="455"/>
    </row>
    <row r="139" spans="1:23" ht="16.5" thickBot="1" x14ac:dyDescent="0.3">
      <c r="B139" s="10"/>
      <c r="T139" s="456"/>
    </row>
    <row r="140" spans="1:23" ht="19.5" customHeight="1" x14ac:dyDescent="0.25">
      <c r="A140" s="593" t="s">
        <v>86</v>
      </c>
      <c r="B140" s="595" t="s">
        <v>87</v>
      </c>
      <c r="C140" s="597" t="s">
        <v>6</v>
      </c>
      <c r="D140" s="597" t="s">
        <v>79</v>
      </c>
      <c r="E140" s="597"/>
      <c r="F140" s="597"/>
      <c r="G140" s="599"/>
      <c r="H140" s="600" t="s">
        <v>88</v>
      </c>
      <c r="I140" s="597"/>
      <c r="J140" s="597"/>
      <c r="K140" s="597"/>
      <c r="L140" s="673"/>
      <c r="M140" s="457"/>
      <c r="N140" s="457"/>
      <c r="O140" s="457"/>
      <c r="P140" s="457"/>
      <c r="Q140" s="457"/>
      <c r="R140" s="457"/>
      <c r="S140" s="457"/>
      <c r="T140" s="457"/>
      <c r="U140" s="369"/>
      <c r="V140" s="369"/>
      <c r="W140" s="369"/>
    </row>
    <row r="141" spans="1:23" ht="102.75" x14ac:dyDescent="0.25">
      <c r="A141" s="594"/>
      <c r="B141" s="596"/>
      <c r="C141" s="598"/>
      <c r="D141" s="207" t="s">
        <v>89</v>
      </c>
      <c r="E141" s="208" t="s">
        <v>90</v>
      </c>
      <c r="F141" s="207" t="s">
        <v>91</v>
      </c>
      <c r="G141" s="209" t="s">
        <v>92</v>
      </c>
      <c r="H141" s="210" t="s">
        <v>93</v>
      </c>
      <c r="I141" s="207" t="s">
        <v>94</v>
      </c>
      <c r="J141" s="207" t="s">
        <v>95</v>
      </c>
      <c r="K141" s="207" t="s">
        <v>96</v>
      </c>
      <c r="L141" s="458" t="s">
        <v>97</v>
      </c>
      <c r="M141" s="457"/>
      <c r="N141" s="457"/>
      <c r="O141" s="457"/>
      <c r="P141" s="459"/>
      <c r="Q141" s="460"/>
      <c r="R141" s="460"/>
      <c r="S141" s="460"/>
      <c r="T141" s="460"/>
      <c r="U141" s="369"/>
      <c r="V141" s="369"/>
      <c r="W141" s="369"/>
    </row>
    <row r="142" spans="1:23" ht="15" customHeight="1" x14ac:dyDescent="0.25">
      <c r="A142" s="581" t="s">
        <v>345</v>
      </c>
      <c r="B142" s="582"/>
      <c r="C142" s="212">
        <v>2014</v>
      </c>
      <c r="D142" s="213"/>
      <c r="E142" s="80"/>
      <c r="F142" s="80"/>
      <c r="G142" s="214">
        <f>SUM(D142:F142)</f>
        <v>0</v>
      </c>
      <c r="H142" s="79"/>
      <c r="I142" s="80"/>
      <c r="J142" s="80"/>
      <c r="K142" s="80"/>
      <c r="L142" s="461"/>
      <c r="M142" s="457"/>
      <c r="N142" s="457"/>
      <c r="O142" s="457"/>
      <c r="P142" s="462"/>
      <c r="Q142" s="462"/>
      <c r="R142" s="462"/>
      <c r="S142" s="462"/>
      <c r="T142" s="462"/>
      <c r="U142" s="369"/>
      <c r="V142" s="369"/>
      <c r="W142" s="369"/>
    </row>
    <row r="143" spans="1:23" x14ac:dyDescent="0.25">
      <c r="A143" s="534"/>
      <c r="B143" s="535"/>
      <c r="C143" s="32">
        <v>2015</v>
      </c>
      <c r="D143" s="33"/>
      <c r="E143" s="34"/>
      <c r="F143" s="34"/>
      <c r="G143" s="214">
        <f t="shared" ref="G143:G148" si="14">SUM(D143:F143)</f>
        <v>0</v>
      </c>
      <c r="H143" s="37"/>
      <c r="I143" s="34"/>
      <c r="J143" s="34"/>
      <c r="K143" s="34"/>
      <c r="L143" s="35"/>
      <c r="M143" s="457"/>
      <c r="N143" s="457"/>
      <c r="O143" s="457"/>
      <c r="P143" s="462"/>
      <c r="Q143" s="462"/>
      <c r="R143" s="462"/>
      <c r="S143" s="462"/>
      <c r="T143" s="462"/>
      <c r="U143" s="463"/>
      <c r="V143" s="463"/>
      <c r="W143" s="369"/>
    </row>
    <row r="144" spans="1:23" x14ac:dyDescent="0.25">
      <c r="A144" s="534"/>
      <c r="B144" s="535"/>
      <c r="C144" s="32">
        <v>2016</v>
      </c>
      <c r="D144" s="33"/>
      <c r="E144" s="34"/>
      <c r="F144" s="34"/>
      <c r="G144" s="214">
        <f t="shared" si="14"/>
        <v>0</v>
      </c>
      <c r="H144" s="37"/>
      <c r="I144" s="34"/>
      <c r="J144" s="34"/>
      <c r="K144" s="34"/>
      <c r="L144" s="35"/>
      <c r="M144" s="457"/>
      <c r="N144" s="457"/>
      <c r="O144" s="457"/>
      <c r="P144" s="462"/>
      <c r="Q144" s="462"/>
      <c r="R144" s="462"/>
      <c r="S144" s="462"/>
      <c r="T144" s="462"/>
      <c r="U144" s="369"/>
      <c r="V144" s="369"/>
      <c r="W144" s="369"/>
    </row>
    <row r="145" spans="1:23" x14ac:dyDescent="0.25">
      <c r="A145" s="534"/>
      <c r="B145" s="535"/>
      <c r="C145" s="32">
        <v>2017</v>
      </c>
      <c r="D145" s="39"/>
      <c r="E145" s="40"/>
      <c r="F145" s="40"/>
      <c r="G145" s="214">
        <f t="shared" si="14"/>
        <v>0</v>
      </c>
      <c r="H145" s="42"/>
      <c r="I145" s="40"/>
      <c r="J145" s="40"/>
      <c r="K145" s="40"/>
      <c r="L145" s="41"/>
      <c r="M145" s="457"/>
      <c r="N145" s="457"/>
      <c r="O145" s="457"/>
      <c r="P145" s="462"/>
      <c r="Q145" s="462"/>
      <c r="R145" s="462"/>
      <c r="S145" s="462"/>
      <c r="T145" s="462"/>
      <c r="U145" s="369"/>
      <c r="V145" s="369"/>
      <c r="W145" s="369"/>
    </row>
    <row r="146" spans="1:23" x14ac:dyDescent="0.25">
      <c r="A146" s="534"/>
      <c r="B146" s="535"/>
      <c r="C146" s="32">
        <v>2018</v>
      </c>
      <c r="D146" s="33">
        <v>2</v>
      </c>
      <c r="E146" s="34">
        <v>5</v>
      </c>
      <c r="F146" s="34"/>
      <c r="G146" s="214">
        <f t="shared" si="14"/>
        <v>7</v>
      </c>
      <c r="H146" s="37"/>
      <c r="I146" s="34"/>
      <c r="J146" s="34">
        <v>69</v>
      </c>
      <c r="K146" s="34">
        <v>163</v>
      </c>
      <c r="L146" s="35">
        <v>5</v>
      </c>
      <c r="M146" s="457"/>
      <c r="N146" s="457"/>
      <c r="O146" s="457"/>
      <c r="P146" s="462"/>
      <c r="Q146" s="462"/>
      <c r="R146" s="462"/>
      <c r="S146" s="462"/>
      <c r="T146" s="462"/>
      <c r="U146" s="369"/>
      <c r="V146" s="369"/>
      <c r="W146" s="369"/>
    </row>
    <row r="147" spans="1:23" x14ac:dyDescent="0.25">
      <c r="A147" s="534"/>
      <c r="B147" s="535"/>
      <c r="C147" s="32">
        <v>2019</v>
      </c>
      <c r="D147" s="33"/>
      <c r="E147" s="34"/>
      <c r="F147" s="34"/>
      <c r="G147" s="214">
        <f t="shared" si="14"/>
        <v>0</v>
      </c>
      <c r="H147" s="37"/>
      <c r="I147" s="34"/>
      <c r="J147" s="34"/>
      <c r="K147" s="34"/>
      <c r="L147" s="35"/>
      <c r="M147" s="457"/>
      <c r="N147" s="457"/>
      <c r="O147" s="457"/>
      <c r="P147" s="462"/>
      <c r="Q147" s="462"/>
      <c r="R147" s="462"/>
      <c r="S147" s="462"/>
      <c r="T147" s="462"/>
      <c r="U147" s="369"/>
      <c r="V147" s="369"/>
      <c r="W147" s="369"/>
    </row>
    <row r="148" spans="1:23" x14ac:dyDescent="0.25">
      <c r="A148" s="534"/>
      <c r="B148" s="535"/>
      <c r="C148" s="32">
        <v>2020</v>
      </c>
      <c r="D148" s="33"/>
      <c r="E148" s="34"/>
      <c r="F148" s="34"/>
      <c r="G148" s="214">
        <f t="shared" si="14"/>
        <v>0</v>
      </c>
      <c r="H148" s="37"/>
      <c r="I148" s="34"/>
      <c r="J148" s="34"/>
      <c r="K148" s="34"/>
      <c r="L148" s="35"/>
      <c r="M148" s="457"/>
      <c r="N148" s="457"/>
      <c r="O148" s="457"/>
      <c r="P148" s="462"/>
      <c r="Q148" s="462"/>
      <c r="R148" s="462"/>
      <c r="S148" s="462"/>
      <c r="T148" s="462"/>
      <c r="U148" s="675"/>
      <c r="V148" s="675"/>
      <c r="W148" s="675"/>
    </row>
    <row r="149" spans="1:23" ht="15.75" thickBot="1" x14ac:dyDescent="0.3">
      <c r="A149" s="536"/>
      <c r="B149" s="537"/>
      <c r="C149" s="50" t="s">
        <v>14</v>
      </c>
      <c r="D149" s="51">
        <f t="shared" ref="D149:L149" si="15">SUM(D142:D148)</f>
        <v>2</v>
      </c>
      <c r="E149" s="52">
        <f t="shared" si="15"/>
        <v>5</v>
      </c>
      <c r="F149" s="52">
        <f t="shared" si="15"/>
        <v>0</v>
      </c>
      <c r="G149" s="54">
        <f t="shared" si="15"/>
        <v>7</v>
      </c>
      <c r="H149" s="85">
        <f t="shared" si="15"/>
        <v>0</v>
      </c>
      <c r="I149" s="52">
        <f t="shared" si="15"/>
        <v>0</v>
      </c>
      <c r="J149" s="52">
        <f t="shared" si="15"/>
        <v>69</v>
      </c>
      <c r="K149" s="52">
        <f t="shared" si="15"/>
        <v>163</v>
      </c>
      <c r="L149" s="53">
        <f t="shared" si="15"/>
        <v>5</v>
      </c>
      <c r="M149" s="457"/>
      <c r="N149" s="457"/>
      <c r="O149" s="457"/>
      <c r="P149" s="462"/>
      <c r="Q149" s="462"/>
      <c r="R149" s="462"/>
      <c r="S149" s="462"/>
      <c r="T149" s="462"/>
      <c r="U149" s="369"/>
      <c r="V149" s="369"/>
      <c r="W149" s="369"/>
    </row>
    <row r="150" spans="1:23" ht="15.75" x14ac:dyDescent="0.25">
      <c r="B150" s="10"/>
      <c r="M150" s="369"/>
      <c r="N150" s="369"/>
      <c r="O150" s="369"/>
      <c r="P150" s="369"/>
      <c r="Q150" s="369"/>
      <c r="R150" s="464"/>
      <c r="S150" s="464"/>
      <c r="T150" s="464"/>
      <c r="U150" s="369"/>
      <c r="V150" s="369"/>
      <c r="W150" s="369"/>
    </row>
    <row r="151" spans="1:23" x14ac:dyDescent="0.25">
      <c r="B151" s="10"/>
    </row>
    <row r="152" spans="1:23" ht="21" x14ac:dyDescent="0.35">
      <c r="A152" s="215" t="s">
        <v>99</v>
      </c>
      <c r="B152" s="68"/>
      <c r="C152" s="67"/>
      <c r="D152" s="69"/>
      <c r="E152" s="69"/>
      <c r="F152" s="69"/>
      <c r="G152" s="69"/>
      <c r="H152" s="69"/>
      <c r="I152" s="69"/>
      <c r="J152" s="69"/>
      <c r="K152" s="69"/>
      <c r="L152" s="69"/>
      <c r="M152" s="9"/>
      <c r="N152" s="9"/>
      <c r="O152" s="9"/>
    </row>
    <row r="153" spans="1:23" ht="15.75" thickBot="1" x14ac:dyDescent="0.3">
      <c r="A153" s="91"/>
      <c r="B153" s="92"/>
    </row>
    <row r="154" spans="1:23" s="11" customFormat="1" ht="65.25" x14ac:dyDescent="0.3">
      <c r="A154" s="216" t="s">
        <v>100</v>
      </c>
      <c r="B154" s="217" t="s">
        <v>101</v>
      </c>
      <c r="C154" s="218" t="s">
        <v>102</v>
      </c>
      <c r="D154" s="219" t="s">
        <v>103</v>
      </c>
      <c r="E154" s="220" t="s">
        <v>104</v>
      </c>
      <c r="F154" s="220" t="s">
        <v>105</v>
      </c>
      <c r="G154" s="221" t="s">
        <v>106</v>
      </c>
    </row>
    <row r="155" spans="1:23" ht="15" customHeight="1" x14ac:dyDescent="0.25">
      <c r="A155" s="540" t="s">
        <v>35</v>
      </c>
      <c r="B155" s="541"/>
      <c r="C155" s="32">
        <v>2014</v>
      </c>
      <c r="D155" s="33"/>
      <c r="E155" s="34"/>
      <c r="F155" s="34"/>
      <c r="G155" s="38"/>
    </row>
    <row r="156" spans="1:23" x14ac:dyDescent="0.25">
      <c r="A156" s="540"/>
      <c r="B156" s="541"/>
      <c r="C156" s="32">
        <v>2015</v>
      </c>
      <c r="D156" s="33"/>
      <c r="E156" s="34"/>
      <c r="F156" s="34"/>
      <c r="G156" s="38"/>
    </row>
    <row r="157" spans="1:23" x14ac:dyDescent="0.25">
      <c r="A157" s="540"/>
      <c r="B157" s="541"/>
      <c r="C157" s="32">
        <v>2016</v>
      </c>
      <c r="D157" s="33"/>
      <c r="E157" s="34"/>
      <c r="F157" s="34"/>
      <c r="G157" s="38"/>
    </row>
    <row r="158" spans="1:23" x14ac:dyDescent="0.25">
      <c r="A158" s="540"/>
      <c r="B158" s="541"/>
      <c r="C158" s="32">
        <v>2017</v>
      </c>
      <c r="D158" s="39"/>
      <c r="E158" s="40"/>
      <c r="F158" s="40"/>
      <c r="G158" s="43"/>
    </row>
    <row r="159" spans="1:23" x14ac:dyDescent="0.25">
      <c r="A159" s="540"/>
      <c r="B159" s="541"/>
      <c r="C159" s="32">
        <v>2018</v>
      </c>
      <c r="D159" s="33"/>
      <c r="E159" s="34"/>
      <c r="F159" s="34"/>
      <c r="G159" s="38"/>
    </row>
    <row r="160" spans="1:23"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602" t="s">
        <v>346</v>
      </c>
      <c r="C166" s="230">
        <f>SUM(C167:C169)</f>
        <v>0</v>
      </c>
      <c r="D166" s="230">
        <f t="shared" ref="D166:I166" si="16">SUM(D167:D169)</f>
        <v>0</v>
      </c>
      <c r="E166" s="230">
        <f t="shared" si="16"/>
        <v>0</v>
      </c>
      <c r="F166" s="230">
        <f t="shared" si="16"/>
        <v>0</v>
      </c>
      <c r="G166" s="372">
        <f t="shared" si="16"/>
        <v>318914.38</v>
      </c>
      <c r="H166" s="230">
        <f t="shared" si="16"/>
        <v>0</v>
      </c>
      <c r="I166" s="231">
        <f t="shared" si="16"/>
        <v>0</v>
      </c>
    </row>
    <row r="167" spans="1:9" ht="15.75" x14ac:dyDescent="0.25">
      <c r="A167" s="232" t="s">
        <v>111</v>
      </c>
      <c r="B167" s="603"/>
      <c r="C167" s="78"/>
      <c r="D167" s="78"/>
      <c r="E167" s="78"/>
      <c r="F167" s="82"/>
      <c r="G167" s="289">
        <v>96240.85</v>
      </c>
      <c r="H167" s="78"/>
      <c r="I167" s="233"/>
    </row>
    <row r="168" spans="1:9" ht="15.75" x14ac:dyDescent="0.25">
      <c r="A168" s="232" t="s">
        <v>112</v>
      </c>
      <c r="B168" s="603"/>
      <c r="C168" s="78"/>
      <c r="D168" s="78"/>
      <c r="E168" s="78"/>
      <c r="F168" s="82"/>
      <c r="G168" s="289"/>
      <c r="H168" s="78"/>
      <c r="I168" s="233"/>
    </row>
    <row r="169" spans="1:9" ht="15.75" x14ac:dyDescent="0.25">
      <c r="A169" s="232" t="s">
        <v>113</v>
      </c>
      <c r="B169" s="603"/>
      <c r="C169" s="78"/>
      <c r="D169" s="78"/>
      <c r="E169" s="78"/>
      <c r="F169" s="82"/>
      <c r="G169" s="289">
        <v>222673.53</v>
      </c>
      <c r="H169" s="78"/>
      <c r="I169" s="233"/>
    </row>
    <row r="170" spans="1:9" ht="31.5" x14ac:dyDescent="0.25">
      <c r="A170" s="234" t="s">
        <v>114</v>
      </c>
      <c r="B170" s="603"/>
      <c r="C170" s="78"/>
      <c r="D170" s="78"/>
      <c r="E170" s="78"/>
      <c r="F170" s="82"/>
      <c r="G170" s="289">
        <v>124492.94</v>
      </c>
      <c r="H170" s="78"/>
      <c r="I170" s="233"/>
    </row>
    <row r="171" spans="1:9" ht="16.5" thickBot="1" x14ac:dyDescent="0.3">
      <c r="A171" s="235" t="s">
        <v>115</v>
      </c>
      <c r="B171" s="604"/>
      <c r="C171" s="236">
        <f t="shared" ref="C171:I171" si="17">C166+C170</f>
        <v>0</v>
      </c>
      <c r="D171" s="236">
        <f t="shared" si="17"/>
        <v>0</v>
      </c>
      <c r="E171" s="236">
        <f t="shared" si="17"/>
        <v>0</v>
      </c>
      <c r="F171" s="236">
        <f t="shared" si="17"/>
        <v>0</v>
      </c>
      <c r="G171" s="290">
        <f t="shared" si="17"/>
        <v>443407.32</v>
      </c>
      <c r="H171" s="236">
        <f t="shared" si="17"/>
        <v>0</v>
      </c>
      <c r="I171" s="86">
        <f t="shared" si="17"/>
        <v>0</v>
      </c>
    </row>
    <row r="174" spans="1:9" x14ac:dyDescent="0.25">
      <c r="D174" s="670"/>
      <c r="E174" s="670"/>
      <c r="F174" s="670"/>
      <c r="G174" s="670"/>
      <c r="H174" s="292"/>
    </row>
    <row r="175" spans="1:9" ht="21.75" customHeight="1" x14ac:dyDescent="0.25">
      <c r="D175" s="670"/>
      <c r="E175" s="670"/>
      <c r="F175" s="426"/>
      <c r="G175" s="426"/>
      <c r="H175" s="292"/>
    </row>
    <row r="176" spans="1:9" ht="17.25" customHeight="1" x14ac:dyDescent="0.25">
      <c r="D176" s="674"/>
      <c r="E176" s="674"/>
      <c r="F176" s="426"/>
      <c r="G176" s="426"/>
      <c r="H176" s="292"/>
    </row>
    <row r="177" spans="4:9" x14ac:dyDescent="0.25">
      <c r="D177" s="672"/>
      <c r="E177" s="672"/>
      <c r="F177" s="672"/>
      <c r="G177" s="672"/>
      <c r="H177" s="292"/>
    </row>
    <row r="178" spans="4:9" x14ac:dyDescent="0.25">
      <c r="D178" s="465"/>
      <c r="E178" s="465"/>
      <c r="F178" s="465"/>
      <c r="G178" s="465"/>
      <c r="H178" s="292"/>
      <c r="I178" s="337"/>
    </row>
    <row r="179" spans="4:9" x14ac:dyDescent="0.25">
      <c r="H179" s="292"/>
      <c r="I179" s="466"/>
    </row>
    <row r="180" spans="4:9" x14ac:dyDescent="0.25">
      <c r="H180" s="292"/>
      <c r="I180" s="466"/>
    </row>
    <row r="181" spans="4:9" x14ac:dyDescent="0.25">
      <c r="H181" s="292"/>
      <c r="I181" s="466"/>
    </row>
    <row r="182" spans="4:9" x14ac:dyDescent="0.25">
      <c r="H182" s="292"/>
      <c r="I182" s="466"/>
    </row>
    <row r="183" spans="4:9" x14ac:dyDescent="0.25">
      <c r="H183" s="292"/>
      <c r="I183" s="466"/>
    </row>
    <row r="184" spans="4:9" x14ac:dyDescent="0.25">
      <c r="H184" s="292"/>
      <c r="I184" s="466"/>
    </row>
    <row r="185" spans="4:9" x14ac:dyDescent="0.25">
      <c r="H185" s="292"/>
      <c r="I185" s="466"/>
    </row>
    <row r="186" spans="4:9" x14ac:dyDescent="0.25">
      <c r="H186" s="292"/>
      <c r="I186" s="466"/>
    </row>
    <row r="187" spans="4:9" x14ac:dyDescent="0.25">
      <c r="H187" s="292"/>
      <c r="I187" s="337"/>
    </row>
    <row r="189" spans="4:9" ht="15.75" x14ac:dyDescent="0.25">
      <c r="H189" s="467"/>
    </row>
  </sheetData>
  <mergeCells count="64">
    <mergeCell ref="D176:E176"/>
    <mergeCell ref="D177:G177"/>
    <mergeCell ref="A142:B149"/>
    <mergeCell ref="U148:W148"/>
    <mergeCell ref="A155:B162"/>
    <mergeCell ref="B166:B171"/>
    <mergeCell ref="D174:G174"/>
    <mergeCell ref="D175:E175"/>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A48:A49"/>
    <mergeCell ref="B48:B49"/>
    <mergeCell ref="C48:C49"/>
    <mergeCell ref="D48:D49"/>
    <mergeCell ref="C21:C22"/>
    <mergeCell ref="A23:B30"/>
    <mergeCell ref="A34:A35"/>
    <mergeCell ref="B34:B35"/>
    <mergeCell ref="C34:C35"/>
    <mergeCell ref="D34:D35"/>
    <mergeCell ref="A36:B43"/>
    <mergeCell ref="I25:L25"/>
    <mergeCell ref="I26:L26"/>
    <mergeCell ref="I27:M27"/>
    <mergeCell ref="I28:L28"/>
    <mergeCell ref="B10:B11"/>
    <mergeCell ref="C10:C11"/>
    <mergeCell ref="A12:B19"/>
    <mergeCell ref="Q13:T13"/>
    <mergeCell ref="Q14:T14"/>
    <mergeCell ref="Q15:U15"/>
    <mergeCell ref="Q16:T16"/>
    <mergeCell ref="Q17:T1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5" workbookViewId="0">
      <selection activeCell="B166" sqref="B166:B171"/>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347</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10"/>
      <c r="O9" s="11"/>
      <c r="P9" s="11"/>
    </row>
    <row r="10" spans="1:17" s="11" customFormat="1" ht="18.75" x14ac:dyDescent="0.3">
      <c r="A10" s="12"/>
      <c r="B10" s="530" t="s">
        <v>5</v>
      </c>
      <c r="C10" s="532" t="s">
        <v>6</v>
      </c>
      <c r="D10" s="13"/>
      <c r="E10" s="14"/>
      <c r="F10" s="15" t="s">
        <v>7</v>
      </c>
      <c r="G10" s="16"/>
      <c r="H10" s="17"/>
      <c r="I10" s="18" t="s">
        <v>8</v>
      </c>
      <c r="J10" s="14"/>
      <c r="K10" s="14"/>
      <c r="L10" s="14"/>
      <c r="M10" s="14"/>
      <c r="N10" s="14"/>
      <c r="O10" s="19"/>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468" t="s">
        <v>348</v>
      </c>
      <c r="B12" s="469"/>
      <c r="C12" s="32">
        <v>2014</v>
      </c>
      <c r="D12" s="33"/>
      <c r="E12" s="34"/>
      <c r="F12" s="34"/>
      <c r="G12" s="35"/>
      <c r="H12" s="36">
        <f>SUM(D12:G12)</f>
        <v>0</v>
      </c>
      <c r="I12" s="37"/>
      <c r="J12" s="34"/>
      <c r="K12" s="34"/>
      <c r="L12" s="34"/>
      <c r="M12" s="34"/>
      <c r="N12" s="34"/>
      <c r="O12" s="38"/>
      <c r="P12" s="11"/>
      <c r="Q12" s="11"/>
    </row>
    <row r="13" spans="1:17" x14ac:dyDescent="0.25">
      <c r="A13" s="468" t="s">
        <v>349</v>
      </c>
      <c r="B13" s="469"/>
      <c r="C13" s="32">
        <v>2015</v>
      </c>
      <c r="D13" s="33"/>
      <c r="E13" s="34"/>
      <c r="F13" s="34"/>
      <c r="G13" s="35"/>
      <c r="H13" s="36">
        <f t="shared" ref="H13:H18" si="0">SUM(D13:G13)</f>
        <v>0</v>
      </c>
      <c r="I13" s="37"/>
      <c r="J13" s="34"/>
      <c r="K13" s="34"/>
      <c r="L13" s="34"/>
      <c r="M13" s="34"/>
      <c r="N13" s="34"/>
      <c r="O13" s="38"/>
      <c r="P13" s="11"/>
      <c r="Q13" s="11"/>
    </row>
    <row r="14" spans="1:17" x14ac:dyDescent="0.25">
      <c r="A14" s="468" t="s">
        <v>350</v>
      </c>
      <c r="B14" s="469"/>
      <c r="C14" s="32">
        <v>2016</v>
      </c>
      <c r="D14" s="33"/>
      <c r="E14" s="34"/>
      <c r="F14" s="34"/>
      <c r="G14" s="35"/>
      <c r="H14" s="36">
        <f t="shared" si="0"/>
        <v>0</v>
      </c>
      <c r="I14" s="37"/>
      <c r="J14" s="34"/>
      <c r="K14" s="34"/>
      <c r="L14" s="34"/>
      <c r="M14" s="34"/>
      <c r="N14" s="34"/>
      <c r="O14" s="38"/>
      <c r="P14" s="11"/>
      <c r="Q14" s="11"/>
    </row>
    <row r="15" spans="1:17" x14ac:dyDescent="0.25">
      <c r="A15" s="468" t="s">
        <v>351</v>
      </c>
      <c r="B15" s="469"/>
      <c r="C15" s="32">
        <v>2017</v>
      </c>
      <c r="D15" s="389"/>
      <c r="E15" s="391"/>
      <c r="F15" s="391"/>
      <c r="G15" s="418"/>
      <c r="H15" s="36">
        <f t="shared" si="0"/>
        <v>0</v>
      </c>
      <c r="I15" s="419"/>
      <c r="J15" s="391"/>
      <c r="K15" s="391"/>
      <c r="L15" s="391"/>
      <c r="M15" s="391"/>
      <c r="N15" s="391"/>
      <c r="O15" s="415"/>
      <c r="P15" s="11"/>
      <c r="Q15" s="11"/>
    </row>
    <row r="16" spans="1:17" x14ac:dyDescent="0.25">
      <c r="A16" s="468"/>
      <c r="B16" s="469"/>
      <c r="C16" s="32">
        <v>2018</v>
      </c>
      <c r="D16" s="33">
        <v>5</v>
      </c>
      <c r="E16" s="34"/>
      <c r="F16" s="34"/>
      <c r="G16" s="35"/>
      <c r="H16" s="36">
        <f t="shared" si="0"/>
        <v>5</v>
      </c>
      <c r="I16" s="37">
        <v>3</v>
      </c>
      <c r="J16" s="34"/>
      <c r="K16" s="34"/>
      <c r="L16" s="34"/>
      <c r="M16" s="34"/>
      <c r="N16" s="34"/>
      <c r="O16" s="38"/>
      <c r="P16" s="11"/>
      <c r="Q16" s="11"/>
    </row>
    <row r="17" spans="1:17" x14ac:dyDescent="0.25">
      <c r="A17" s="468"/>
      <c r="B17" s="469"/>
      <c r="C17" s="32">
        <v>2019</v>
      </c>
      <c r="D17" s="33"/>
      <c r="E17" s="34"/>
      <c r="F17" s="34"/>
      <c r="G17" s="35"/>
      <c r="H17" s="36">
        <f t="shared" si="0"/>
        <v>0</v>
      </c>
      <c r="I17" s="37"/>
      <c r="J17" s="34"/>
      <c r="K17" s="34"/>
      <c r="L17" s="34"/>
      <c r="M17" s="34"/>
      <c r="N17" s="34"/>
      <c r="O17" s="38"/>
      <c r="P17" s="11"/>
      <c r="Q17" s="11"/>
    </row>
    <row r="18" spans="1:17" x14ac:dyDescent="0.25">
      <c r="A18" s="468"/>
      <c r="B18" s="469"/>
      <c r="C18" s="32">
        <v>2020</v>
      </c>
      <c r="D18" s="33"/>
      <c r="E18" s="34"/>
      <c r="F18" s="34"/>
      <c r="G18" s="35"/>
      <c r="H18" s="36">
        <f t="shared" si="0"/>
        <v>0</v>
      </c>
      <c r="I18" s="37"/>
      <c r="J18" s="34"/>
      <c r="K18" s="34"/>
      <c r="L18" s="34"/>
      <c r="M18" s="34"/>
      <c r="N18" s="34"/>
      <c r="O18" s="38"/>
      <c r="P18" s="11"/>
      <c r="Q18" s="11"/>
    </row>
    <row r="19" spans="1:17" ht="77.25" customHeight="1" thickBot="1" x14ac:dyDescent="0.3">
      <c r="A19" s="470"/>
      <c r="B19" s="471"/>
      <c r="C19" s="50" t="s">
        <v>14</v>
      </c>
      <c r="D19" s="51">
        <f>SUM(D12:D18)</f>
        <v>5</v>
      </c>
      <c r="E19" s="52">
        <f>SUM(E12:E18)</f>
        <v>0</v>
      </c>
      <c r="F19" s="52">
        <f>SUM(F12:F18)</f>
        <v>0</v>
      </c>
      <c r="G19" s="53"/>
      <c r="H19" s="54">
        <f>SUM(D19:F19)</f>
        <v>5</v>
      </c>
      <c r="I19" s="85">
        <f>SUM(I12:I18)</f>
        <v>3</v>
      </c>
      <c r="J19" s="52"/>
      <c r="K19" s="52">
        <f>SUM(K12:K18)</f>
        <v>0</v>
      </c>
      <c r="L19" s="52">
        <f>SUM(L12:L18)</f>
        <v>0</v>
      </c>
      <c r="M19" s="52">
        <f>SUM(M12:M18)</f>
        <v>0</v>
      </c>
      <c r="N19" s="52">
        <f>SUM(N12:N18)</f>
        <v>0</v>
      </c>
      <c r="O19" s="86">
        <f>SUM(O12:O18)</f>
        <v>0</v>
      </c>
      <c r="P19" s="11"/>
      <c r="Q19" s="11"/>
    </row>
    <row r="20" spans="1:17" ht="15.75" thickBot="1" x14ac:dyDescent="0.3">
      <c r="B20" s="10"/>
      <c r="D20" s="58"/>
      <c r="O20" s="11"/>
      <c r="P20" s="11"/>
    </row>
    <row r="21" spans="1:17" s="11" customFormat="1" ht="18.75" x14ac:dyDescent="0.3">
      <c r="A21" s="12"/>
      <c r="B21" s="59"/>
      <c r="C21" s="532" t="s">
        <v>6</v>
      </c>
      <c r="D21" s="13"/>
      <c r="E21" s="14"/>
      <c r="F21" s="15" t="s">
        <v>7</v>
      </c>
      <c r="G21" s="16"/>
      <c r="H21" s="17"/>
    </row>
    <row r="22" spans="1:17" s="11" customFormat="1" ht="44.25" customHeight="1" x14ac:dyDescent="0.3">
      <c r="A22" s="60" t="s">
        <v>22</v>
      </c>
      <c r="B22" s="404"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89"/>
      <c r="E26" s="391"/>
      <c r="F26" s="391"/>
      <c r="G26" s="418"/>
      <c r="H26" s="36">
        <f t="shared" si="1"/>
        <v>0</v>
      </c>
    </row>
    <row r="27" spans="1:17" x14ac:dyDescent="0.25">
      <c r="A27" s="534"/>
      <c r="B27" s="535"/>
      <c r="C27" s="32">
        <v>2018</v>
      </c>
      <c r="D27" s="33">
        <v>285</v>
      </c>
      <c r="E27" s="34"/>
      <c r="F27" s="34"/>
      <c r="G27" s="35"/>
      <c r="H27" s="36">
        <f t="shared" si="1"/>
        <v>285</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285</v>
      </c>
      <c r="E30" s="52">
        <f>SUM(E23:E29)</f>
        <v>0</v>
      </c>
      <c r="F30" s="52">
        <f>SUM(F23:F29)</f>
        <v>0</v>
      </c>
      <c r="G30" s="52">
        <f>SUM(G23:G29)</f>
        <v>0</v>
      </c>
      <c r="H30" s="54">
        <f t="shared" ref="H30" si="2">SUM(D30:F30)</f>
        <v>285</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472" t="s">
        <v>30</v>
      </c>
      <c r="B36" s="473"/>
      <c r="C36" s="32">
        <v>2014</v>
      </c>
      <c r="D36" s="78"/>
      <c r="E36" s="79"/>
      <c r="F36" s="80"/>
      <c r="G36" s="80"/>
      <c r="H36" s="80"/>
      <c r="I36" s="80"/>
      <c r="J36" s="80"/>
      <c r="K36" s="81"/>
    </row>
    <row r="37" spans="1:13" x14ac:dyDescent="0.25">
      <c r="A37" s="472" t="s">
        <v>352</v>
      </c>
      <c r="B37" s="473"/>
      <c r="C37" s="32">
        <v>2015</v>
      </c>
      <c r="D37" s="78"/>
      <c r="E37" s="37"/>
      <c r="F37" s="34"/>
      <c r="G37" s="34"/>
      <c r="H37" s="34"/>
      <c r="I37" s="34"/>
      <c r="J37" s="34"/>
      <c r="K37" s="38"/>
    </row>
    <row r="38" spans="1:13" x14ac:dyDescent="0.25">
      <c r="A38" s="472"/>
      <c r="B38" s="473"/>
      <c r="C38" s="32">
        <v>2016</v>
      </c>
      <c r="D38" s="78"/>
      <c r="E38" s="37"/>
      <c r="F38" s="34"/>
      <c r="G38" s="34"/>
      <c r="H38" s="34"/>
      <c r="I38" s="34"/>
      <c r="J38" s="34"/>
      <c r="K38" s="38"/>
    </row>
    <row r="39" spans="1:13" x14ac:dyDescent="0.25">
      <c r="A39" s="472"/>
      <c r="B39" s="473"/>
      <c r="C39" s="32">
        <v>2017</v>
      </c>
      <c r="D39" s="420"/>
      <c r="E39" s="419"/>
      <c r="F39" s="391"/>
      <c r="G39" s="391"/>
      <c r="H39" s="391"/>
      <c r="I39" s="391"/>
      <c r="J39" s="391"/>
      <c r="K39" s="415"/>
    </row>
    <row r="40" spans="1:13" x14ac:dyDescent="0.25">
      <c r="A40" s="472"/>
      <c r="B40" s="473"/>
      <c r="C40" s="32">
        <v>2018</v>
      </c>
      <c r="D40" s="78">
        <v>1</v>
      </c>
      <c r="E40" s="37">
        <v>1</v>
      </c>
      <c r="F40" s="34"/>
      <c r="G40" s="34"/>
      <c r="H40" s="34"/>
      <c r="I40" s="34"/>
      <c r="J40" s="34"/>
      <c r="K40" s="38"/>
    </row>
    <row r="41" spans="1:13" x14ac:dyDescent="0.25">
      <c r="A41" s="472"/>
      <c r="B41" s="473"/>
      <c r="C41" s="32">
        <v>2019</v>
      </c>
      <c r="D41" s="78"/>
      <c r="E41" s="37"/>
      <c r="F41" s="34"/>
      <c r="G41" s="34"/>
      <c r="H41" s="34"/>
      <c r="I41" s="34"/>
      <c r="J41" s="34"/>
      <c r="K41" s="38"/>
    </row>
    <row r="42" spans="1:13" ht="17.25" customHeight="1" x14ac:dyDescent="0.25">
      <c r="A42" s="472"/>
      <c r="B42" s="473"/>
      <c r="C42" s="32">
        <v>2020</v>
      </c>
      <c r="D42" s="78"/>
      <c r="E42" s="37"/>
      <c r="F42" s="34"/>
      <c r="G42" s="34"/>
      <c r="H42" s="34"/>
      <c r="I42" s="34"/>
      <c r="J42" s="34"/>
      <c r="K42" s="38"/>
    </row>
    <row r="43" spans="1:13" ht="35.25" customHeight="1" thickBot="1" x14ac:dyDescent="0.3">
      <c r="A43" s="474"/>
      <c r="B43" s="475"/>
      <c r="C43" s="50" t="s">
        <v>14</v>
      </c>
      <c r="D43" s="422">
        <f>SUM(D36:D42)</f>
        <v>1</v>
      </c>
      <c r="E43" s="85">
        <f t="shared" ref="E43:J43" si="3">SUM(E36:E42)</f>
        <v>1</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423"/>
      <c r="M46" s="423"/>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4" s="11" customFormat="1" ht="117" customHeight="1" x14ac:dyDescent="0.25">
      <c r="A49" s="545"/>
      <c r="B49" s="547"/>
      <c r="C49" s="549"/>
      <c r="D49" s="551"/>
      <c r="E49" s="96" t="s">
        <v>15</v>
      </c>
      <c r="F49" s="97" t="s">
        <v>16</v>
      </c>
      <c r="G49" s="97" t="s">
        <v>17</v>
      </c>
      <c r="H49" s="98" t="s">
        <v>18</v>
      </c>
      <c r="I49" s="98" t="s">
        <v>29</v>
      </c>
      <c r="J49" s="99" t="s">
        <v>20</v>
      </c>
      <c r="K49" s="100" t="s">
        <v>21</v>
      </c>
    </row>
    <row r="50" spans="1:14" ht="15" customHeight="1" x14ac:dyDescent="0.25">
      <c r="A50" s="534" t="s">
        <v>35</v>
      </c>
      <c r="B50" s="535"/>
      <c r="C50" s="32">
        <v>2014</v>
      </c>
      <c r="D50" s="101"/>
      <c r="E50" s="37"/>
      <c r="F50" s="34"/>
      <c r="G50" s="34"/>
      <c r="H50" s="34"/>
      <c r="I50" s="34"/>
      <c r="J50" s="34"/>
      <c r="K50" s="38"/>
    </row>
    <row r="51" spans="1:14" x14ac:dyDescent="0.25">
      <c r="A51" s="534"/>
      <c r="B51" s="535"/>
      <c r="C51" s="32">
        <v>2015</v>
      </c>
      <c r="D51" s="101"/>
      <c r="E51" s="37"/>
      <c r="F51" s="34"/>
      <c r="G51" s="34"/>
      <c r="H51" s="34"/>
      <c r="I51" s="34"/>
      <c r="J51" s="34"/>
      <c r="K51" s="38"/>
    </row>
    <row r="52" spans="1:14" x14ac:dyDescent="0.25">
      <c r="A52" s="534"/>
      <c r="B52" s="535"/>
      <c r="C52" s="32">
        <v>2016</v>
      </c>
      <c r="D52" s="101"/>
      <c r="E52" s="37"/>
      <c r="F52" s="34"/>
      <c r="G52" s="34"/>
      <c r="H52" s="34"/>
      <c r="I52" s="34"/>
      <c r="J52" s="34"/>
      <c r="K52" s="38"/>
    </row>
    <row r="53" spans="1:14" x14ac:dyDescent="0.25">
      <c r="A53" s="534"/>
      <c r="B53" s="535"/>
      <c r="C53" s="32">
        <v>2017</v>
      </c>
      <c r="D53" s="424"/>
      <c r="E53" s="419"/>
      <c r="F53" s="391"/>
      <c r="G53" s="391"/>
      <c r="H53" s="391"/>
      <c r="I53" s="391"/>
      <c r="J53" s="391"/>
      <c r="K53" s="415"/>
    </row>
    <row r="54" spans="1:14" x14ac:dyDescent="0.25">
      <c r="A54" s="534"/>
      <c r="B54" s="535"/>
      <c r="C54" s="32">
        <v>2018</v>
      </c>
      <c r="D54" s="101"/>
      <c r="E54" s="37"/>
      <c r="F54" s="34"/>
      <c r="G54" s="34"/>
      <c r="H54" s="34"/>
      <c r="I54" s="34"/>
      <c r="J54" s="34"/>
      <c r="K54" s="38"/>
    </row>
    <row r="55" spans="1:14" x14ac:dyDescent="0.25">
      <c r="A55" s="534"/>
      <c r="B55" s="535"/>
      <c r="C55" s="32">
        <v>2019</v>
      </c>
      <c r="D55" s="101"/>
      <c r="E55" s="37"/>
      <c r="F55" s="34"/>
      <c r="G55" s="34"/>
      <c r="H55" s="34"/>
      <c r="I55" s="34"/>
      <c r="J55" s="34"/>
      <c r="K55" s="38"/>
    </row>
    <row r="56" spans="1:14" x14ac:dyDescent="0.25">
      <c r="A56" s="534"/>
      <c r="B56" s="535"/>
      <c r="C56" s="32">
        <v>2020</v>
      </c>
      <c r="D56" s="101"/>
      <c r="E56" s="37"/>
      <c r="F56" s="34"/>
      <c r="G56" s="34"/>
      <c r="H56" s="34"/>
      <c r="I56" s="34"/>
      <c r="J56" s="34"/>
      <c r="K56" s="38"/>
    </row>
    <row r="57" spans="1:14"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4" x14ac:dyDescent="0.25">
      <c r="B58" s="10"/>
    </row>
    <row r="59" spans="1:14" ht="21" x14ac:dyDescent="0.35">
      <c r="A59" s="104" t="s">
        <v>36</v>
      </c>
      <c r="B59" s="105"/>
      <c r="C59" s="104"/>
      <c r="D59" s="106"/>
      <c r="E59" s="106"/>
      <c r="F59" s="106"/>
      <c r="G59" s="106"/>
      <c r="H59" s="106"/>
      <c r="I59" s="106"/>
      <c r="J59" s="106"/>
      <c r="K59" s="106"/>
      <c r="L59" s="106"/>
      <c r="M59" s="11"/>
    </row>
    <row r="60" spans="1:14" ht="15" customHeight="1" thickBot="1" x14ac:dyDescent="0.4">
      <c r="A60" s="192"/>
      <c r="B60" s="92"/>
      <c r="M60" s="11"/>
    </row>
    <row r="61" spans="1:14" s="11" customFormat="1" x14ac:dyDescent="0.25">
      <c r="A61" s="558" t="s">
        <v>37</v>
      </c>
      <c r="B61" s="560" t="s">
        <v>38</v>
      </c>
      <c r="C61" s="562" t="s">
        <v>6</v>
      </c>
      <c r="D61" s="109"/>
      <c r="E61" s="110"/>
      <c r="F61" s="111" t="s">
        <v>39</v>
      </c>
      <c r="G61" s="112"/>
      <c r="H61" s="112"/>
      <c r="I61" s="112"/>
      <c r="J61" s="112"/>
      <c r="K61" s="112"/>
      <c r="L61" s="113"/>
      <c r="N61" s="425"/>
    </row>
    <row r="62" spans="1:14"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4" x14ac:dyDescent="0.25">
      <c r="A63" s="534" t="s">
        <v>35</v>
      </c>
      <c r="B63" s="535"/>
      <c r="C63" s="32">
        <v>2014</v>
      </c>
      <c r="D63" s="33"/>
      <c r="E63" s="34"/>
      <c r="F63" s="37"/>
      <c r="G63" s="34"/>
      <c r="H63" s="34"/>
      <c r="I63" s="34"/>
      <c r="J63" s="34"/>
      <c r="K63" s="34"/>
      <c r="L63" s="38"/>
      <c r="M63" s="11"/>
    </row>
    <row r="64" spans="1:14" x14ac:dyDescent="0.25">
      <c r="A64" s="534"/>
      <c r="B64" s="535"/>
      <c r="C64" s="32">
        <v>2015</v>
      </c>
      <c r="D64" s="33"/>
      <c r="E64" s="34"/>
      <c r="F64" s="37"/>
      <c r="G64" s="34"/>
      <c r="H64" s="34"/>
      <c r="I64" s="34"/>
      <c r="J64" s="34"/>
      <c r="K64" s="34"/>
      <c r="L64" s="38"/>
      <c r="M64" s="11"/>
    </row>
    <row r="65" spans="1:13" x14ac:dyDescent="0.25">
      <c r="A65" s="534"/>
      <c r="B65" s="535"/>
      <c r="C65" s="32">
        <v>2016</v>
      </c>
      <c r="D65" s="33"/>
      <c r="E65" s="34"/>
      <c r="F65" s="37"/>
      <c r="G65" s="34"/>
      <c r="H65" s="34"/>
      <c r="I65" s="34"/>
      <c r="J65" s="34"/>
      <c r="K65" s="34"/>
      <c r="L65" s="38"/>
      <c r="M65" s="11"/>
    </row>
    <row r="66" spans="1:13" x14ac:dyDescent="0.25">
      <c r="A66" s="534"/>
      <c r="B66" s="535"/>
      <c r="C66" s="32">
        <v>2017</v>
      </c>
      <c r="D66" s="389"/>
      <c r="E66" s="391"/>
      <c r="F66" s="419"/>
      <c r="G66" s="391"/>
      <c r="H66" s="391"/>
      <c r="I66" s="391"/>
      <c r="J66" s="391"/>
      <c r="K66" s="391"/>
      <c r="L66" s="415"/>
      <c r="M66" s="11"/>
    </row>
    <row r="67" spans="1:13" x14ac:dyDescent="0.25">
      <c r="A67" s="534"/>
      <c r="B67" s="535"/>
      <c r="C67" s="32">
        <v>2018</v>
      </c>
      <c r="D67" s="33"/>
      <c r="E67" s="34"/>
      <c r="F67" s="37"/>
      <c r="G67" s="34"/>
      <c r="H67" s="34"/>
      <c r="I67" s="34"/>
      <c r="J67" s="34"/>
      <c r="K67" s="34"/>
      <c r="L67" s="38"/>
      <c r="M67" s="11"/>
    </row>
    <row r="68" spans="1:13" x14ac:dyDescent="0.25">
      <c r="A68" s="534"/>
      <c r="B68" s="535"/>
      <c r="C68" s="32">
        <v>2019</v>
      </c>
      <c r="D68" s="33"/>
      <c r="E68" s="34"/>
      <c r="F68" s="37"/>
      <c r="G68" s="34"/>
      <c r="H68" s="34"/>
      <c r="I68" s="34"/>
      <c r="J68" s="34"/>
      <c r="K68" s="34"/>
      <c r="L68" s="38"/>
      <c r="M68" s="11"/>
    </row>
    <row r="69" spans="1:13" x14ac:dyDescent="0.25">
      <c r="A69" s="534"/>
      <c r="B69" s="535"/>
      <c r="C69" s="32">
        <v>2020</v>
      </c>
      <c r="D69" s="33"/>
      <c r="E69" s="34"/>
      <c r="F69" s="37"/>
      <c r="G69" s="34"/>
      <c r="H69" s="34"/>
      <c r="I69" s="34"/>
      <c r="J69" s="34"/>
      <c r="K69" s="34"/>
      <c r="L69" s="38"/>
      <c r="M69" s="11"/>
    </row>
    <row r="70" spans="1:13" ht="33" customHeight="1" thickBot="1" x14ac:dyDescent="0.3">
      <c r="A70" s="536"/>
      <c r="B70" s="537"/>
      <c r="C70" s="50" t="s">
        <v>14</v>
      </c>
      <c r="D70" s="51">
        <f t="shared" ref="D70:K70" si="5">SUM(D63:D69)</f>
        <v>0</v>
      </c>
      <c r="E70" s="52">
        <f t="shared" si="5"/>
        <v>0</v>
      </c>
      <c r="F70" s="85">
        <f t="shared" si="5"/>
        <v>0</v>
      </c>
      <c r="G70" s="52">
        <f t="shared" si="5"/>
        <v>0</v>
      </c>
      <c r="H70" s="52">
        <f t="shared" si="5"/>
        <v>0</v>
      </c>
      <c r="I70" s="52">
        <f t="shared" si="5"/>
        <v>0</v>
      </c>
      <c r="J70" s="52">
        <f t="shared" si="5"/>
        <v>0</v>
      </c>
      <c r="K70" s="52">
        <f t="shared" si="5"/>
        <v>0</v>
      </c>
      <c r="L70" s="86">
        <f>SUM(L63:L69)</f>
        <v>0</v>
      </c>
      <c r="M70" s="11"/>
    </row>
    <row r="71" spans="1:13" ht="15.75" thickBot="1" x14ac:dyDescent="0.3">
      <c r="A71" s="426"/>
      <c r="B71" s="427"/>
      <c r="D71" s="58"/>
    </row>
    <row r="72" spans="1:13" s="11" customFormat="1" ht="18.95" customHeight="1" x14ac:dyDescent="0.25">
      <c r="A72" s="558" t="s">
        <v>42</v>
      </c>
      <c r="B72" s="560" t="s">
        <v>43</v>
      </c>
      <c r="C72" s="562" t="s">
        <v>6</v>
      </c>
      <c r="D72" s="564" t="s">
        <v>44</v>
      </c>
      <c r="E72" s="111" t="s">
        <v>45</v>
      </c>
      <c r="F72" s="112"/>
      <c r="G72" s="112"/>
      <c r="H72" s="112"/>
      <c r="I72" s="112"/>
      <c r="J72" s="112"/>
      <c r="K72" s="113"/>
      <c r="L72"/>
      <c r="M72" s="425"/>
    </row>
    <row r="73" spans="1:13"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3" ht="15" customHeight="1" x14ac:dyDescent="0.25">
      <c r="A74" s="534" t="s">
        <v>35</v>
      </c>
      <c r="B74" s="535"/>
      <c r="C74" s="32">
        <v>2014</v>
      </c>
      <c r="D74" s="34"/>
      <c r="E74" s="37"/>
      <c r="F74" s="34"/>
      <c r="G74" s="34"/>
      <c r="H74" s="34"/>
      <c r="I74" s="34"/>
      <c r="J74" s="34"/>
      <c r="K74" s="38"/>
    </row>
    <row r="75" spans="1:13" x14ac:dyDescent="0.25">
      <c r="A75" s="534"/>
      <c r="B75" s="535"/>
      <c r="C75" s="32">
        <v>2015</v>
      </c>
      <c r="D75" s="34"/>
      <c r="E75" s="37"/>
      <c r="F75" s="34"/>
      <c r="G75" s="34"/>
      <c r="H75" s="34"/>
      <c r="I75" s="34"/>
      <c r="J75" s="34"/>
      <c r="K75" s="38"/>
    </row>
    <row r="76" spans="1:13" x14ac:dyDescent="0.25">
      <c r="A76" s="534"/>
      <c r="B76" s="535"/>
      <c r="C76" s="32">
        <v>2016</v>
      </c>
      <c r="D76" s="34"/>
      <c r="E76" s="37"/>
      <c r="F76" s="34"/>
      <c r="G76" s="34"/>
      <c r="H76" s="34"/>
      <c r="I76" s="34"/>
      <c r="J76" s="34"/>
      <c r="K76" s="38"/>
    </row>
    <row r="77" spans="1:13" x14ac:dyDescent="0.25">
      <c r="A77" s="534"/>
      <c r="B77" s="535"/>
      <c r="C77" s="32">
        <v>2017</v>
      </c>
      <c r="D77" s="391"/>
      <c r="E77" s="419"/>
      <c r="F77" s="391"/>
      <c r="G77" s="391"/>
      <c r="H77" s="391"/>
      <c r="I77" s="391"/>
      <c r="J77" s="391"/>
      <c r="K77" s="415"/>
    </row>
    <row r="78" spans="1:13" x14ac:dyDescent="0.25">
      <c r="A78" s="534"/>
      <c r="B78" s="535"/>
      <c r="C78" s="32">
        <v>2018</v>
      </c>
      <c r="D78" s="34"/>
      <c r="E78" s="37"/>
      <c r="F78" s="34"/>
      <c r="G78" s="34"/>
      <c r="H78" s="34"/>
      <c r="I78" s="34"/>
      <c r="J78" s="34"/>
      <c r="K78" s="38"/>
    </row>
    <row r="79" spans="1:13" x14ac:dyDescent="0.25">
      <c r="A79" s="534"/>
      <c r="B79" s="535"/>
      <c r="C79" s="32">
        <v>2019</v>
      </c>
      <c r="D79" s="34"/>
      <c r="E79" s="37"/>
      <c r="F79" s="34"/>
      <c r="G79" s="34"/>
      <c r="H79" s="34"/>
      <c r="I79" s="34"/>
      <c r="J79" s="34"/>
      <c r="K79" s="38"/>
    </row>
    <row r="80" spans="1:13" x14ac:dyDescent="0.25">
      <c r="A80" s="534"/>
      <c r="B80" s="535"/>
      <c r="C80" s="32">
        <v>2020</v>
      </c>
      <c r="D80" s="34"/>
      <c r="E80" s="37"/>
      <c r="F80" s="34"/>
      <c r="G80" s="34"/>
      <c r="H80" s="34"/>
      <c r="I80" s="34"/>
      <c r="J80" s="34"/>
      <c r="K80" s="38"/>
    </row>
    <row r="81" spans="1:14" ht="42" customHeight="1" thickBot="1" x14ac:dyDescent="0.3">
      <c r="A81" s="536"/>
      <c r="B81" s="537"/>
      <c r="C81" s="50" t="s">
        <v>14</v>
      </c>
      <c r="D81" s="52">
        <f t="shared" ref="D81:J81" si="6">SUM(D74:D80)</f>
        <v>0</v>
      </c>
      <c r="E81" s="85">
        <f t="shared" si="6"/>
        <v>0</v>
      </c>
      <c r="F81" s="52">
        <f t="shared" si="6"/>
        <v>0</v>
      </c>
      <c r="G81" s="52">
        <f t="shared" si="6"/>
        <v>0</v>
      </c>
      <c r="H81" s="52">
        <f t="shared" si="6"/>
        <v>0</v>
      </c>
      <c r="I81" s="52">
        <f t="shared" si="6"/>
        <v>0</v>
      </c>
      <c r="J81" s="52">
        <f t="shared" si="6"/>
        <v>0</v>
      </c>
      <c r="K81" s="86">
        <f>SUM(K74:K80)</f>
        <v>0</v>
      </c>
    </row>
    <row r="82" spans="1:14" ht="15" customHeight="1" thickBot="1" x14ac:dyDescent="0.4">
      <c r="A82" s="192"/>
      <c r="B82" s="92"/>
    </row>
    <row r="83" spans="1:14" ht="24.95" customHeight="1" x14ac:dyDescent="0.25">
      <c r="A83" s="558" t="s">
        <v>46</v>
      </c>
      <c r="B83" s="560" t="s">
        <v>43</v>
      </c>
      <c r="C83" s="562" t="s">
        <v>6</v>
      </c>
      <c r="D83" s="566" t="s">
        <v>47</v>
      </c>
      <c r="E83" s="111" t="s">
        <v>48</v>
      </c>
      <c r="F83" s="112"/>
      <c r="G83" s="112"/>
      <c r="H83" s="112"/>
      <c r="I83" s="112"/>
      <c r="J83" s="112"/>
      <c r="K83" s="113"/>
      <c r="L83" s="11"/>
    </row>
    <row r="84" spans="1:14"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4" s="11" customFormat="1" ht="18" customHeight="1" x14ac:dyDescent="0.25">
      <c r="A85" s="534" t="s">
        <v>35</v>
      </c>
      <c r="B85" s="535"/>
      <c r="C85" s="32">
        <v>2014</v>
      </c>
      <c r="D85" s="34"/>
      <c r="E85" s="37"/>
      <c r="F85" s="34"/>
      <c r="G85" s="34"/>
      <c r="H85" s="34"/>
      <c r="I85" s="34"/>
      <c r="J85" s="34"/>
      <c r="K85" s="38"/>
      <c r="L85"/>
    </row>
    <row r="86" spans="1:14" ht="15.95" customHeight="1" x14ac:dyDescent="0.25">
      <c r="A86" s="534"/>
      <c r="B86" s="535"/>
      <c r="C86" s="32">
        <v>2015</v>
      </c>
      <c r="D86" s="34"/>
      <c r="E86" s="37"/>
      <c r="F86" s="34"/>
      <c r="G86" s="34"/>
      <c r="H86" s="34"/>
      <c r="I86" s="34"/>
      <c r="J86" s="34"/>
      <c r="K86" s="38"/>
    </row>
    <row r="87" spans="1:14" x14ac:dyDescent="0.25">
      <c r="A87" s="534"/>
      <c r="B87" s="535"/>
      <c r="C87" s="32">
        <v>2016</v>
      </c>
      <c r="D87" s="34"/>
      <c r="E87" s="37"/>
      <c r="F87" s="34"/>
      <c r="G87" s="34"/>
      <c r="H87" s="34"/>
      <c r="I87" s="34"/>
      <c r="J87" s="34"/>
      <c r="K87" s="38"/>
    </row>
    <row r="88" spans="1:14" x14ac:dyDescent="0.25">
      <c r="A88" s="534"/>
      <c r="B88" s="535"/>
      <c r="C88" s="32">
        <v>2017</v>
      </c>
      <c r="D88" s="391"/>
      <c r="E88" s="419"/>
      <c r="F88" s="391"/>
      <c r="G88" s="391"/>
      <c r="H88" s="391"/>
      <c r="I88" s="391"/>
      <c r="J88" s="391"/>
      <c r="K88" s="415"/>
    </row>
    <row r="89" spans="1:14" x14ac:dyDescent="0.25">
      <c r="A89" s="534"/>
      <c r="B89" s="535"/>
      <c r="C89" s="32">
        <v>2018</v>
      </c>
      <c r="D89" s="34"/>
      <c r="E89" s="37"/>
      <c r="F89" s="34"/>
      <c r="G89" s="34"/>
      <c r="H89" s="34"/>
      <c r="I89" s="34"/>
      <c r="J89" s="34"/>
      <c r="K89" s="38"/>
      <c r="L89" s="11"/>
    </row>
    <row r="90" spans="1:14" x14ac:dyDescent="0.25">
      <c r="A90" s="534"/>
      <c r="B90" s="535"/>
      <c r="C90" s="32">
        <v>2019</v>
      </c>
      <c r="D90" s="34"/>
      <c r="E90" s="37"/>
      <c r="F90" s="34"/>
      <c r="G90" s="34"/>
      <c r="H90" s="34"/>
      <c r="I90" s="34"/>
      <c r="J90" s="34"/>
      <c r="K90" s="38"/>
    </row>
    <row r="91" spans="1:14" x14ac:dyDescent="0.25">
      <c r="A91" s="534"/>
      <c r="B91" s="535"/>
      <c r="C91" s="32">
        <v>2020</v>
      </c>
      <c r="D91" s="34"/>
      <c r="E91" s="37"/>
      <c r="F91" s="34"/>
      <c r="G91" s="34"/>
      <c r="H91" s="34"/>
      <c r="I91" s="34"/>
      <c r="J91" s="34"/>
      <c r="K91" s="38"/>
    </row>
    <row r="92" spans="1:14" ht="18.95" customHeight="1" thickBot="1" x14ac:dyDescent="0.3">
      <c r="A92" s="536"/>
      <c r="B92" s="537"/>
      <c r="C92" s="50" t="s">
        <v>14</v>
      </c>
      <c r="D92" s="52">
        <f t="shared" ref="D92:J92" si="7">SUM(D85:D91)</f>
        <v>0</v>
      </c>
      <c r="E92" s="85">
        <f t="shared" si="7"/>
        <v>0</v>
      </c>
      <c r="F92" s="52">
        <f t="shared" si="7"/>
        <v>0</v>
      </c>
      <c r="G92" s="52">
        <f t="shared" si="7"/>
        <v>0</v>
      </c>
      <c r="H92" s="52">
        <f t="shared" si="7"/>
        <v>0</v>
      </c>
      <c r="I92" s="52">
        <f t="shared" si="7"/>
        <v>0</v>
      </c>
      <c r="J92" s="52">
        <f t="shared" si="7"/>
        <v>0</v>
      </c>
      <c r="K92" s="86">
        <f>SUM(K85:K91)</f>
        <v>0</v>
      </c>
    </row>
    <row r="93" spans="1:14" ht="18.75" customHeight="1" thickBot="1" x14ac:dyDescent="0.4">
      <c r="A93" s="192"/>
      <c r="B93" s="92"/>
    </row>
    <row r="94" spans="1:14" x14ac:dyDescent="0.25">
      <c r="A94" s="568" t="s">
        <v>49</v>
      </c>
      <c r="B94" s="560" t="s">
        <v>50</v>
      </c>
      <c r="C94" s="405" t="s">
        <v>6</v>
      </c>
      <c r="D94" s="139" t="s">
        <v>51</v>
      </c>
      <c r="E94" s="140"/>
      <c r="F94" s="140"/>
      <c r="G94" s="141"/>
      <c r="H94" s="11"/>
      <c r="I94" s="11"/>
      <c r="J94" s="11"/>
      <c r="K94" s="11"/>
    </row>
    <row r="95" spans="1:14" ht="64.5" x14ac:dyDescent="0.25">
      <c r="A95" s="559"/>
      <c r="B95" s="561"/>
      <c r="C95" s="406"/>
      <c r="D95" s="115" t="s">
        <v>52</v>
      </c>
      <c r="E95" s="116" t="s">
        <v>53</v>
      </c>
      <c r="F95" s="116" t="s">
        <v>54</v>
      </c>
      <c r="G95" s="143" t="s">
        <v>14</v>
      </c>
      <c r="H95" s="11"/>
      <c r="I95" s="11"/>
      <c r="J95" s="11"/>
      <c r="K95" s="11"/>
      <c r="L95" s="11"/>
      <c r="M95" s="11"/>
      <c r="N95" s="11"/>
    </row>
    <row r="96" spans="1:14" s="11" customFormat="1" ht="26.25" customHeight="1" x14ac:dyDescent="0.25">
      <c r="A96" s="534" t="s">
        <v>35</v>
      </c>
      <c r="B96" s="535"/>
      <c r="C96" s="32">
        <v>2015</v>
      </c>
      <c r="D96" s="33"/>
      <c r="E96" s="34"/>
      <c r="F96" s="34"/>
      <c r="G96" s="36">
        <f t="shared" ref="G96:G101" si="8">SUM(D96:F96)</f>
        <v>0</v>
      </c>
      <c r="H96"/>
      <c r="I96"/>
      <c r="J96"/>
      <c r="K96"/>
    </row>
    <row r="97" spans="1:14" s="11" customFormat="1" ht="16.5" customHeight="1" x14ac:dyDescent="0.25">
      <c r="A97" s="534"/>
      <c r="B97" s="535"/>
      <c r="C97" s="32">
        <v>2016</v>
      </c>
      <c r="D97" s="33"/>
      <c r="E97" s="34"/>
      <c r="F97" s="34"/>
      <c r="G97" s="36">
        <f t="shared" si="8"/>
        <v>0</v>
      </c>
      <c r="H97"/>
      <c r="I97"/>
      <c r="J97"/>
      <c r="K97"/>
      <c r="L97"/>
      <c r="M97"/>
      <c r="N97"/>
    </row>
    <row r="98" spans="1:14" x14ac:dyDescent="0.25">
      <c r="A98" s="534"/>
      <c r="B98" s="535"/>
      <c r="C98" s="32">
        <v>2017</v>
      </c>
      <c r="D98" s="389"/>
      <c r="E98" s="391"/>
      <c r="F98" s="391"/>
      <c r="G98" s="36">
        <f t="shared" si="8"/>
        <v>0</v>
      </c>
    </row>
    <row r="99" spans="1:14" x14ac:dyDescent="0.25">
      <c r="A99" s="534"/>
      <c r="B99" s="535"/>
      <c r="C99" s="32">
        <v>2018</v>
      </c>
      <c r="D99" s="33"/>
      <c r="E99" s="34"/>
      <c r="F99" s="34"/>
      <c r="G99" s="36">
        <f t="shared" si="8"/>
        <v>0</v>
      </c>
    </row>
    <row r="100" spans="1:14" x14ac:dyDescent="0.25">
      <c r="A100" s="534"/>
      <c r="B100" s="535"/>
      <c r="C100" s="32">
        <v>2019</v>
      </c>
      <c r="D100" s="33"/>
      <c r="E100" s="34"/>
      <c r="F100" s="34"/>
      <c r="G100" s="36">
        <f t="shared" si="8"/>
        <v>0</v>
      </c>
    </row>
    <row r="101" spans="1:14" x14ac:dyDescent="0.25">
      <c r="A101" s="534"/>
      <c r="B101" s="535"/>
      <c r="C101" s="32">
        <v>2020</v>
      </c>
      <c r="D101" s="33"/>
      <c r="E101" s="34"/>
      <c r="F101" s="34"/>
      <c r="G101" s="36">
        <f t="shared" si="8"/>
        <v>0</v>
      </c>
    </row>
    <row r="102" spans="1:14" ht="15.75" thickBot="1" x14ac:dyDescent="0.3">
      <c r="A102" s="536"/>
      <c r="B102" s="537"/>
      <c r="C102" s="50" t="s">
        <v>14</v>
      </c>
      <c r="D102" s="51">
        <f>SUM(D95:D101)</f>
        <v>0</v>
      </c>
      <c r="E102" s="52">
        <f>SUM(E95:E101)</f>
        <v>0</v>
      </c>
      <c r="F102" s="52">
        <f>SUM(F95:F101)</f>
        <v>0</v>
      </c>
      <c r="G102" s="145">
        <f>SUM(G95:G101)</f>
        <v>0</v>
      </c>
    </row>
    <row r="103" spans="1:14" x14ac:dyDescent="0.25">
      <c r="A103" s="427"/>
      <c r="B103" s="428"/>
      <c r="C103" s="58"/>
      <c r="D103" s="58"/>
      <c r="J103" s="91"/>
    </row>
    <row r="104" spans="1:14" ht="21" x14ac:dyDescent="0.35">
      <c r="A104" s="151" t="s">
        <v>55</v>
      </c>
      <c r="B104" s="152"/>
      <c r="C104" s="151"/>
      <c r="D104" s="153"/>
      <c r="E104" s="153"/>
      <c r="F104" s="153"/>
      <c r="G104" s="153"/>
      <c r="H104" s="153"/>
      <c r="I104" s="153"/>
      <c r="J104" s="153"/>
      <c r="K104" s="153"/>
      <c r="L104" s="153"/>
    </row>
    <row r="105" spans="1:14" ht="15.75" thickBot="1" x14ac:dyDescent="0.3">
      <c r="B105" s="10"/>
    </row>
    <row r="106" spans="1:14" s="11" customFormat="1" ht="47.25" customHeight="1" x14ac:dyDescent="0.25">
      <c r="A106" s="569" t="s">
        <v>56</v>
      </c>
      <c r="B106" s="571" t="s">
        <v>57</v>
      </c>
      <c r="C106" s="573" t="s">
        <v>6</v>
      </c>
      <c r="D106" s="154" t="s">
        <v>58</v>
      </c>
      <c r="E106" s="154"/>
      <c r="F106" s="155"/>
      <c r="G106" s="155"/>
      <c r="H106" s="156" t="s">
        <v>59</v>
      </c>
      <c r="I106" s="154"/>
      <c r="J106" s="157"/>
    </row>
    <row r="107" spans="1:14" s="11" customFormat="1" ht="87.75" customHeight="1" x14ac:dyDescent="0.25">
      <c r="A107" s="570"/>
      <c r="B107" s="572"/>
      <c r="C107" s="574"/>
      <c r="D107" s="158" t="s">
        <v>60</v>
      </c>
      <c r="E107" s="159" t="s">
        <v>61</v>
      </c>
      <c r="F107" s="160" t="s">
        <v>62</v>
      </c>
      <c r="G107" s="161" t="s">
        <v>63</v>
      </c>
      <c r="H107" s="158" t="s">
        <v>64</v>
      </c>
      <c r="I107" s="159" t="s">
        <v>65</v>
      </c>
      <c r="J107" s="162" t="s">
        <v>66</v>
      </c>
    </row>
    <row r="108" spans="1:14" x14ac:dyDescent="0.25">
      <c r="A108" s="534" t="s">
        <v>35</v>
      </c>
      <c r="B108" s="535"/>
      <c r="C108" s="163">
        <v>2014</v>
      </c>
      <c r="D108" s="33"/>
      <c r="E108" s="34"/>
      <c r="F108" s="204"/>
      <c r="G108" s="203">
        <f>SUM(D108:F108)</f>
        <v>0</v>
      </c>
      <c r="H108" s="33"/>
      <c r="I108" s="34"/>
      <c r="J108" s="38"/>
    </row>
    <row r="109" spans="1:14" x14ac:dyDescent="0.25">
      <c r="A109" s="534"/>
      <c r="B109" s="535"/>
      <c r="C109" s="163">
        <v>2015</v>
      </c>
      <c r="D109" s="33"/>
      <c r="E109" s="34"/>
      <c r="F109" s="204"/>
      <c r="G109" s="203">
        <f t="shared" ref="G109:G114" si="9">SUM(D109:F109)</f>
        <v>0</v>
      </c>
      <c r="H109" s="33"/>
      <c r="I109" s="34"/>
      <c r="J109" s="38"/>
    </row>
    <row r="110" spans="1:14" x14ac:dyDescent="0.25">
      <c r="A110" s="534"/>
      <c r="B110" s="535"/>
      <c r="C110" s="163">
        <v>2016</v>
      </c>
      <c r="D110" s="33"/>
      <c r="E110" s="34"/>
      <c r="F110" s="204"/>
      <c r="G110" s="203">
        <f t="shared" si="9"/>
        <v>0</v>
      </c>
      <c r="H110" s="33"/>
      <c r="I110" s="34"/>
      <c r="J110" s="38"/>
    </row>
    <row r="111" spans="1:14" x14ac:dyDescent="0.25">
      <c r="A111" s="534"/>
      <c r="B111" s="535"/>
      <c r="C111" s="163">
        <v>2017</v>
      </c>
      <c r="D111" s="389"/>
      <c r="E111" s="391"/>
      <c r="F111" s="429"/>
      <c r="G111" s="203">
        <f t="shared" si="9"/>
        <v>0</v>
      </c>
      <c r="H111" s="430"/>
      <c r="I111" s="431"/>
      <c r="J111" s="432"/>
    </row>
    <row r="112" spans="1:14" x14ac:dyDescent="0.25">
      <c r="A112" s="534"/>
      <c r="B112" s="535"/>
      <c r="C112" s="163">
        <v>2018</v>
      </c>
      <c r="D112" s="33"/>
      <c r="E112" s="34"/>
      <c r="F112" s="204"/>
      <c r="G112" s="203">
        <f t="shared" si="9"/>
        <v>0</v>
      </c>
      <c r="H112" s="33"/>
      <c r="I112" s="34"/>
      <c r="J112" s="38"/>
    </row>
    <row r="113" spans="1:19" x14ac:dyDescent="0.25">
      <c r="A113" s="534"/>
      <c r="B113" s="535"/>
      <c r="C113" s="163">
        <v>2019</v>
      </c>
      <c r="D113" s="33"/>
      <c r="E113" s="34"/>
      <c r="F113" s="204"/>
      <c r="G113" s="203">
        <f t="shared" si="9"/>
        <v>0</v>
      </c>
      <c r="H113" s="33"/>
      <c r="I113" s="34"/>
      <c r="J113" s="38"/>
    </row>
    <row r="114" spans="1:19" x14ac:dyDescent="0.25">
      <c r="A114" s="534"/>
      <c r="B114" s="535"/>
      <c r="C114" s="163">
        <v>2020</v>
      </c>
      <c r="D114" s="33"/>
      <c r="E114" s="34"/>
      <c r="F114" s="204"/>
      <c r="G114" s="203">
        <f t="shared" si="9"/>
        <v>0</v>
      </c>
      <c r="H114" s="33"/>
      <c r="I114" s="34"/>
      <c r="J114" s="38"/>
    </row>
    <row r="115" spans="1:19" ht="30.6" customHeight="1" thickBot="1" x14ac:dyDescent="0.3">
      <c r="A115" s="536"/>
      <c r="B115" s="537"/>
      <c r="C115" s="172" t="s">
        <v>14</v>
      </c>
      <c r="D115" s="51">
        <f t="shared" ref="D115:J115" si="10">SUM(D108:D114)</f>
        <v>0</v>
      </c>
      <c r="E115" s="52">
        <f t="shared" si="10"/>
        <v>0</v>
      </c>
      <c r="F115" s="205">
        <f t="shared" si="10"/>
        <v>0</v>
      </c>
      <c r="G115" s="205">
        <f t="shared" si="10"/>
        <v>0</v>
      </c>
      <c r="H115" s="51">
        <f t="shared" si="10"/>
        <v>0</v>
      </c>
      <c r="I115" s="52">
        <f t="shared" si="10"/>
        <v>0</v>
      </c>
      <c r="J115" s="175">
        <f t="shared" si="10"/>
        <v>0</v>
      </c>
    </row>
    <row r="116" spans="1:19" ht="17.100000000000001" customHeight="1" thickBot="1" x14ac:dyDescent="0.3">
      <c r="A116" s="433"/>
      <c r="B116" s="428"/>
      <c r="C116" s="434"/>
      <c r="D116" s="435"/>
      <c r="H116" s="436"/>
      <c r="K116" s="91"/>
    </row>
    <row r="117" spans="1:19" s="11" customFormat="1" ht="78" customHeight="1" x14ac:dyDescent="0.3">
      <c r="A117" s="180" t="s">
        <v>67</v>
      </c>
      <c r="B117" s="40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37"/>
      <c r="E118" s="34"/>
      <c r="F118" s="34"/>
      <c r="G118" s="34"/>
      <c r="H118" s="34"/>
      <c r="I118" s="38"/>
      <c r="J118" s="316">
        <f t="shared" ref="J118:K124" si="11">D118+F118+H118</f>
        <v>0</v>
      </c>
      <c r="K118" s="316">
        <f t="shared" si="11"/>
        <v>0</v>
      </c>
    </row>
    <row r="119" spans="1:19" x14ac:dyDescent="0.25">
      <c r="A119" s="534"/>
      <c r="B119" s="535"/>
      <c r="C119" s="32">
        <v>2015</v>
      </c>
      <c r="D119" s="37"/>
      <c r="E119" s="34"/>
      <c r="F119" s="34"/>
      <c r="G119" s="34"/>
      <c r="H119" s="34"/>
      <c r="I119" s="38"/>
      <c r="J119" s="316">
        <f t="shared" si="11"/>
        <v>0</v>
      </c>
      <c r="K119" s="316">
        <f t="shared" si="11"/>
        <v>0</v>
      </c>
    </row>
    <row r="120" spans="1:19" x14ac:dyDescent="0.25">
      <c r="A120" s="534"/>
      <c r="B120" s="535"/>
      <c r="C120" s="32">
        <v>2016</v>
      </c>
      <c r="D120" s="37"/>
      <c r="E120" s="34"/>
      <c r="F120" s="34"/>
      <c r="G120" s="34"/>
      <c r="H120" s="34"/>
      <c r="I120" s="38"/>
      <c r="J120" s="316">
        <f t="shared" si="11"/>
        <v>0</v>
      </c>
      <c r="K120" s="316">
        <f t="shared" si="11"/>
        <v>0</v>
      </c>
    </row>
    <row r="121" spans="1:19" x14ac:dyDescent="0.25">
      <c r="A121" s="534"/>
      <c r="B121" s="535"/>
      <c r="C121" s="32">
        <v>2017</v>
      </c>
      <c r="D121" s="419"/>
      <c r="E121" s="391"/>
      <c r="F121" s="391"/>
      <c r="G121" s="391"/>
      <c r="H121" s="391"/>
      <c r="I121" s="415"/>
      <c r="J121" s="316">
        <f t="shared" si="11"/>
        <v>0</v>
      </c>
      <c r="K121" s="316">
        <f t="shared" si="11"/>
        <v>0</v>
      </c>
    </row>
    <row r="122" spans="1:19" x14ac:dyDescent="0.25">
      <c r="A122" s="534"/>
      <c r="B122" s="535"/>
      <c r="C122" s="32">
        <v>2018</v>
      </c>
      <c r="D122" s="37"/>
      <c r="E122" s="34"/>
      <c r="F122" s="34"/>
      <c r="G122" s="34"/>
      <c r="H122" s="34"/>
      <c r="I122" s="38"/>
      <c r="J122" s="316">
        <f t="shared" si="11"/>
        <v>0</v>
      </c>
      <c r="K122" s="316">
        <f t="shared" si="11"/>
        <v>0</v>
      </c>
    </row>
    <row r="123" spans="1:19" x14ac:dyDescent="0.25">
      <c r="A123" s="534"/>
      <c r="B123" s="535"/>
      <c r="C123" s="32">
        <v>2019</v>
      </c>
      <c r="D123" s="37"/>
      <c r="E123" s="34"/>
      <c r="F123" s="34"/>
      <c r="G123" s="34"/>
      <c r="H123" s="34"/>
      <c r="I123" s="38"/>
      <c r="J123" s="316">
        <f t="shared" si="11"/>
        <v>0</v>
      </c>
      <c r="K123" s="316">
        <f t="shared" si="11"/>
        <v>0</v>
      </c>
    </row>
    <row r="124" spans="1:19" x14ac:dyDescent="0.25">
      <c r="A124" s="534"/>
      <c r="B124" s="535"/>
      <c r="C124" s="32">
        <v>2020</v>
      </c>
      <c r="D124" s="37"/>
      <c r="E124" s="34"/>
      <c r="F124" s="34"/>
      <c r="G124" s="34"/>
      <c r="H124" s="34"/>
      <c r="I124" s="38"/>
      <c r="J124" s="316">
        <f t="shared" si="11"/>
        <v>0</v>
      </c>
      <c r="K124" s="316">
        <f t="shared" si="11"/>
        <v>0</v>
      </c>
    </row>
    <row r="125" spans="1:19" ht="51" customHeight="1" thickBot="1" x14ac:dyDescent="0.3">
      <c r="A125" s="536"/>
      <c r="B125" s="537"/>
      <c r="C125" s="50" t="s">
        <v>14</v>
      </c>
      <c r="D125" s="85"/>
      <c r="E125" s="52">
        <f>SUM(E118:E124)</f>
        <v>0</v>
      </c>
      <c r="F125" s="52"/>
      <c r="G125" s="52">
        <f>SUM(G118:G124)</f>
        <v>0</v>
      </c>
      <c r="H125" s="52"/>
      <c r="I125" s="86">
        <f>SUM(I118:I124)</f>
        <v>0</v>
      </c>
      <c r="J125" s="86">
        <f>SUM(J118:J124)</f>
        <v>0</v>
      </c>
      <c r="K125" s="86">
        <f>SUM(K118:K124)</f>
        <v>0</v>
      </c>
    </row>
    <row r="126" spans="1:19" ht="18.95" customHeight="1" x14ac:dyDescent="0.25">
      <c r="A126" s="437"/>
      <c r="B126" s="428"/>
      <c r="C126" s="58"/>
      <c r="D126" s="58"/>
      <c r="S126" s="91"/>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476" t="s">
        <v>35</v>
      </c>
      <c r="B131" s="477"/>
      <c r="C131" s="32">
        <v>2014</v>
      </c>
      <c r="D131" s="33"/>
      <c r="E131" s="34"/>
      <c r="F131" s="34"/>
      <c r="G131" s="203">
        <f t="shared" ref="G131:G137" si="12">SUM(D131:E131)</f>
        <v>0</v>
      </c>
      <c r="H131" s="101"/>
      <c r="I131" s="37"/>
      <c r="J131" s="34"/>
      <c r="K131" s="34"/>
      <c r="L131" s="34"/>
      <c r="M131" s="34"/>
      <c r="N131" s="34"/>
      <c r="O131" s="38"/>
    </row>
    <row r="132" spans="1:15" x14ac:dyDescent="0.25">
      <c r="A132" s="476" t="s">
        <v>353</v>
      </c>
      <c r="B132" s="477"/>
      <c r="C132" s="32">
        <v>2015</v>
      </c>
      <c r="D132" s="33"/>
      <c r="E132" s="34"/>
      <c r="F132" s="34"/>
      <c r="G132" s="203">
        <f t="shared" si="12"/>
        <v>0</v>
      </c>
      <c r="H132" s="101"/>
      <c r="I132" s="37"/>
      <c r="J132" s="34"/>
      <c r="K132" s="34"/>
      <c r="L132" s="34"/>
      <c r="M132" s="34"/>
      <c r="N132" s="34"/>
      <c r="O132" s="38"/>
    </row>
    <row r="133" spans="1:15" ht="38.25" x14ac:dyDescent="0.25">
      <c r="A133" s="350" t="s">
        <v>354</v>
      </c>
      <c r="B133" s="477"/>
      <c r="C133" s="32">
        <v>2016</v>
      </c>
      <c r="D133" s="33"/>
      <c r="E133" s="34"/>
      <c r="F133" s="34"/>
      <c r="G133" s="203">
        <f t="shared" si="12"/>
        <v>0</v>
      </c>
      <c r="H133" s="101"/>
      <c r="I133" s="37"/>
      <c r="J133" s="34"/>
      <c r="K133" s="34"/>
      <c r="L133" s="34"/>
      <c r="M133" s="34"/>
      <c r="N133" s="34"/>
      <c r="O133" s="38"/>
    </row>
    <row r="134" spans="1:15" x14ac:dyDescent="0.25">
      <c r="A134" s="476"/>
      <c r="B134" s="477"/>
      <c r="C134" s="32">
        <v>2017</v>
      </c>
      <c r="D134" s="389"/>
      <c r="E134" s="391"/>
      <c r="F134" s="391"/>
      <c r="G134" s="203">
        <f t="shared" si="12"/>
        <v>0</v>
      </c>
      <c r="H134" s="101"/>
      <c r="I134" s="419"/>
      <c r="J134" s="391"/>
      <c r="K134" s="391"/>
      <c r="L134" s="391"/>
      <c r="M134" s="391"/>
      <c r="N134" s="391"/>
      <c r="O134" s="415"/>
    </row>
    <row r="135" spans="1:15" x14ac:dyDescent="0.25">
      <c r="A135" s="476"/>
      <c r="B135" s="477"/>
      <c r="C135" s="32">
        <v>2018</v>
      </c>
      <c r="D135" s="33">
        <v>1</v>
      </c>
      <c r="E135" s="34">
        <v>1</v>
      </c>
      <c r="F135" s="34"/>
      <c r="G135" s="203">
        <v>2</v>
      </c>
      <c r="H135" s="101">
        <v>6</v>
      </c>
      <c r="I135" s="37">
        <v>2</v>
      </c>
      <c r="J135" s="34"/>
      <c r="K135" s="34"/>
      <c r="L135" s="34"/>
      <c r="M135" s="34"/>
      <c r="N135" s="34"/>
      <c r="O135" s="38"/>
    </row>
    <row r="136" spans="1:15" x14ac:dyDescent="0.25">
      <c r="A136" s="476"/>
      <c r="B136" s="477"/>
      <c r="C136" s="32">
        <v>2019</v>
      </c>
      <c r="D136" s="33"/>
      <c r="E136" s="34"/>
      <c r="F136" s="34"/>
      <c r="G136" s="203">
        <f t="shared" si="12"/>
        <v>0</v>
      </c>
      <c r="H136" s="101"/>
      <c r="I136" s="37"/>
      <c r="J136" s="34"/>
      <c r="K136" s="34"/>
      <c r="L136" s="34"/>
      <c r="M136" s="34"/>
      <c r="N136" s="34"/>
      <c r="O136" s="38"/>
    </row>
    <row r="137" spans="1:15" x14ac:dyDescent="0.25">
      <c r="A137" s="476"/>
      <c r="B137" s="477"/>
      <c r="C137" s="32">
        <v>2020</v>
      </c>
      <c r="D137" s="33"/>
      <c r="E137" s="34"/>
      <c r="F137" s="34"/>
      <c r="G137" s="203">
        <f t="shared" si="12"/>
        <v>0</v>
      </c>
      <c r="H137" s="101"/>
      <c r="I137" s="37"/>
      <c r="J137" s="34"/>
      <c r="K137" s="34"/>
      <c r="L137" s="34"/>
      <c r="M137" s="34"/>
      <c r="N137" s="34"/>
      <c r="O137" s="38"/>
    </row>
    <row r="138" spans="1:15" ht="15.95" customHeight="1" thickBot="1" x14ac:dyDescent="0.3">
      <c r="A138" s="478"/>
      <c r="B138" s="479"/>
      <c r="C138" s="50" t="s">
        <v>14</v>
      </c>
      <c r="D138" s="51">
        <f>SUM(D131:D137)</f>
        <v>1</v>
      </c>
      <c r="E138" s="52">
        <f>SUM(E131:E137)</f>
        <v>1</v>
      </c>
      <c r="F138" s="52">
        <f>SUM(F131:F137)</f>
        <v>0</v>
      </c>
      <c r="G138" s="205">
        <f t="shared" ref="G138:O138" si="13">SUM(G131:G137)</f>
        <v>2</v>
      </c>
      <c r="H138" s="206">
        <f t="shared" si="13"/>
        <v>6</v>
      </c>
      <c r="I138" s="85">
        <f t="shared" si="13"/>
        <v>2</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2" x14ac:dyDescent="0.25">
      <c r="A145" s="534"/>
      <c r="B145" s="535"/>
      <c r="C145" s="32">
        <v>2017</v>
      </c>
      <c r="D145" s="389"/>
      <c r="E145" s="391"/>
      <c r="F145" s="391"/>
      <c r="G145" s="214">
        <f t="shared" si="14"/>
        <v>0</v>
      </c>
      <c r="H145" s="419"/>
      <c r="I145" s="391"/>
      <c r="J145" s="391"/>
      <c r="K145" s="391"/>
      <c r="L145" s="415"/>
    </row>
    <row r="146" spans="1:12" x14ac:dyDescent="0.25">
      <c r="A146" s="534"/>
      <c r="B146" s="535"/>
      <c r="C146" s="32">
        <v>2018</v>
      </c>
      <c r="D146" s="33">
        <v>60</v>
      </c>
      <c r="E146" s="34"/>
      <c r="F146" s="34"/>
      <c r="G146" s="214">
        <f t="shared" si="14"/>
        <v>60</v>
      </c>
      <c r="H146" s="37"/>
      <c r="I146" s="34"/>
      <c r="J146" s="34"/>
      <c r="K146" s="34"/>
      <c r="L146" s="38"/>
    </row>
    <row r="147" spans="1:12" x14ac:dyDescent="0.25">
      <c r="A147" s="534"/>
      <c r="B147" s="535"/>
      <c r="C147" s="32">
        <v>2019</v>
      </c>
      <c r="D147" s="33"/>
      <c r="E147" s="34"/>
      <c r="F147" s="34"/>
      <c r="G147" s="214">
        <f t="shared" si="14"/>
        <v>0</v>
      </c>
      <c r="H147" s="37"/>
      <c r="I147" s="34"/>
      <c r="J147" s="34"/>
      <c r="K147" s="34"/>
      <c r="L147" s="38"/>
    </row>
    <row r="148" spans="1:12" x14ac:dyDescent="0.25">
      <c r="A148" s="534"/>
      <c r="B148" s="535"/>
      <c r="C148" s="32">
        <v>2020</v>
      </c>
      <c r="D148" s="33"/>
      <c r="E148" s="34"/>
      <c r="F148" s="34"/>
      <c r="G148" s="214">
        <f t="shared" si="14"/>
        <v>0</v>
      </c>
      <c r="H148" s="37"/>
      <c r="I148" s="34"/>
      <c r="J148" s="34"/>
      <c r="K148" s="34"/>
      <c r="L148" s="38"/>
    </row>
    <row r="149" spans="1:12" ht="15.75" thickBot="1" x14ac:dyDescent="0.3">
      <c r="A149" s="536"/>
      <c r="B149" s="537"/>
      <c r="C149" s="50" t="s">
        <v>14</v>
      </c>
      <c r="D149" s="51">
        <f t="shared" ref="D149:L149" si="15">SUM(D142:D148)</f>
        <v>60</v>
      </c>
      <c r="E149" s="52">
        <f t="shared" si="15"/>
        <v>0</v>
      </c>
      <c r="F149" s="52">
        <f t="shared" si="15"/>
        <v>0</v>
      </c>
      <c r="G149" s="54">
        <f t="shared" si="15"/>
        <v>60</v>
      </c>
      <c r="H149" s="85">
        <f t="shared" si="15"/>
        <v>0</v>
      </c>
      <c r="I149" s="52">
        <f t="shared" si="15"/>
        <v>0</v>
      </c>
      <c r="J149" s="52">
        <f t="shared" si="15"/>
        <v>0</v>
      </c>
      <c r="K149" s="52">
        <f t="shared" si="15"/>
        <v>0</v>
      </c>
      <c r="L149" s="86">
        <f t="shared" si="15"/>
        <v>0</v>
      </c>
    </row>
    <row r="150" spans="1:12" x14ac:dyDescent="0.25">
      <c r="B150" s="10"/>
    </row>
    <row r="151" spans="1:12" x14ac:dyDescent="0.25">
      <c r="B151" s="10"/>
    </row>
    <row r="152" spans="1:12" ht="21" x14ac:dyDescent="0.35">
      <c r="A152" s="215" t="s">
        <v>99</v>
      </c>
      <c r="B152" s="68"/>
      <c r="C152" s="67"/>
      <c r="D152" s="69"/>
      <c r="E152" s="69"/>
      <c r="F152" s="69"/>
      <c r="G152" s="69"/>
      <c r="H152" s="69"/>
      <c r="I152" s="69"/>
      <c r="J152" s="69"/>
      <c r="K152" s="69"/>
      <c r="L152" s="69"/>
    </row>
    <row r="153" spans="1:12" ht="15.75" thickBot="1" x14ac:dyDescent="0.3">
      <c r="A153" s="91"/>
      <c r="B153" s="92"/>
    </row>
    <row r="154" spans="1:12" s="11" customFormat="1" ht="65.25" x14ac:dyDescent="0.3">
      <c r="A154" s="216" t="s">
        <v>100</v>
      </c>
      <c r="B154" s="217" t="s">
        <v>101</v>
      </c>
      <c r="C154" s="218" t="s">
        <v>102</v>
      </c>
      <c r="D154" s="219" t="s">
        <v>103</v>
      </c>
      <c r="E154" s="220" t="s">
        <v>104</v>
      </c>
      <c r="F154" s="220" t="s">
        <v>105</v>
      </c>
      <c r="G154" s="221" t="s">
        <v>106</v>
      </c>
    </row>
    <row r="155" spans="1:12" ht="15" customHeight="1" x14ac:dyDescent="0.25">
      <c r="A155" s="540" t="s">
        <v>35</v>
      </c>
      <c r="B155" s="541"/>
      <c r="C155" s="32">
        <v>2014</v>
      </c>
      <c r="D155" s="33"/>
      <c r="E155" s="34"/>
      <c r="F155" s="34"/>
      <c r="G155" s="38"/>
    </row>
    <row r="156" spans="1:12" x14ac:dyDescent="0.25">
      <c r="A156" s="540"/>
      <c r="B156" s="541"/>
      <c r="C156" s="32">
        <v>2015</v>
      </c>
      <c r="D156" s="33"/>
      <c r="E156" s="34"/>
      <c r="F156" s="34"/>
      <c r="G156" s="38"/>
    </row>
    <row r="157" spans="1:12" x14ac:dyDescent="0.25">
      <c r="A157" s="540"/>
      <c r="B157" s="541"/>
      <c r="C157" s="32">
        <v>2016</v>
      </c>
      <c r="D157" s="33"/>
      <c r="E157" s="34"/>
      <c r="F157" s="34"/>
      <c r="G157" s="38"/>
    </row>
    <row r="158" spans="1:12" x14ac:dyDescent="0.25">
      <c r="A158" s="540"/>
      <c r="B158" s="541"/>
      <c r="C158" s="32">
        <v>2017</v>
      </c>
      <c r="D158" s="389"/>
      <c r="E158" s="391"/>
      <c r="F158" s="391"/>
      <c r="G158" s="415"/>
    </row>
    <row r="159" spans="1:12" x14ac:dyDescent="0.25">
      <c r="A159" s="540"/>
      <c r="B159" s="541"/>
      <c r="C159" s="32">
        <v>2018</v>
      </c>
      <c r="D159" s="33"/>
      <c r="E159" s="34"/>
      <c r="F159" s="34"/>
      <c r="G159" s="38"/>
    </row>
    <row r="160" spans="1:12"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438">
        <v>2014</v>
      </c>
      <c r="D165" s="438">
        <v>2015</v>
      </c>
      <c r="E165" s="438">
        <v>2016</v>
      </c>
      <c r="F165" s="438">
        <v>2017</v>
      </c>
      <c r="G165" s="438">
        <v>2018</v>
      </c>
      <c r="H165" s="438">
        <v>2019</v>
      </c>
      <c r="I165" s="439">
        <v>2020</v>
      </c>
    </row>
    <row r="166" spans="1:9" ht="14.1" customHeight="1" x14ac:dyDescent="0.25">
      <c r="A166" s="229" t="s">
        <v>109</v>
      </c>
      <c r="B166" s="602" t="s">
        <v>355</v>
      </c>
      <c r="C166" s="230">
        <f>SUM(C167:C169)</f>
        <v>0</v>
      </c>
      <c r="D166" s="230">
        <f t="shared" ref="D166:I166" si="16">SUM(D167:D169)</f>
        <v>0</v>
      </c>
      <c r="E166" s="230">
        <f t="shared" si="16"/>
        <v>0</v>
      </c>
      <c r="F166" s="230">
        <f t="shared" si="16"/>
        <v>0</v>
      </c>
      <c r="G166" s="372">
        <v>207244.52</v>
      </c>
      <c r="H166" s="230">
        <f t="shared" si="16"/>
        <v>0</v>
      </c>
      <c r="I166" s="231">
        <f t="shared" si="16"/>
        <v>0</v>
      </c>
    </row>
    <row r="167" spans="1:9" ht="15.75" x14ac:dyDescent="0.25">
      <c r="A167" s="232" t="s">
        <v>111</v>
      </c>
      <c r="B167" s="603"/>
      <c r="C167" s="78"/>
      <c r="D167" s="78"/>
      <c r="E167" s="78"/>
      <c r="F167" s="420"/>
      <c r="G167" s="289">
        <v>64660.04</v>
      </c>
      <c r="H167" s="78"/>
      <c r="I167" s="233"/>
    </row>
    <row r="168" spans="1:9" ht="15.75" x14ac:dyDescent="0.25">
      <c r="A168" s="232" t="s">
        <v>112</v>
      </c>
      <c r="B168" s="603"/>
      <c r="C168" s="78"/>
      <c r="D168" s="78"/>
      <c r="E168" s="78"/>
      <c r="F168" s="420"/>
      <c r="G168" s="289">
        <v>142584.48000000001</v>
      </c>
      <c r="H168" s="78"/>
      <c r="I168" s="233"/>
    </row>
    <row r="169" spans="1:9" ht="15.75" x14ac:dyDescent="0.25">
      <c r="A169" s="232" t="s">
        <v>113</v>
      </c>
      <c r="B169" s="603"/>
      <c r="C169" s="78"/>
      <c r="D169" s="78"/>
      <c r="E169" s="78"/>
      <c r="F169" s="420"/>
      <c r="G169" s="78"/>
      <c r="H169" s="78"/>
      <c r="I169" s="233"/>
    </row>
    <row r="170" spans="1:9" ht="31.5" x14ac:dyDescent="0.25">
      <c r="A170" s="229" t="s">
        <v>114</v>
      </c>
      <c r="B170" s="603"/>
      <c r="C170" s="78"/>
      <c r="D170" s="78"/>
      <c r="E170" s="78"/>
      <c r="F170" s="420"/>
      <c r="G170" s="78"/>
      <c r="H170" s="78"/>
      <c r="I170" s="233"/>
    </row>
    <row r="171" spans="1:9" ht="16.5" thickBot="1" x14ac:dyDescent="0.3">
      <c r="A171" s="235" t="s">
        <v>115</v>
      </c>
      <c r="B171" s="604"/>
      <c r="C171" s="236">
        <f t="shared" ref="C171:I171" si="17">C166+C170</f>
        <v>0</v>
      </c>
      <c r="D171" s="236">
        <f t="shared" si="17"/>
        <v>0</v>
      </c>
      <c r="E171" s="236">
        <f t="shared" si="17"/>
        <v>0</v>
      </c>
      <c r="F171" s="236">
        <f t="shared" si="17"/>
        <v>0</v>
      </c>
      <c r="G171" s="236">
        <f t="shared" si="17"/>
        <v>207244.52</v>
      </c>
      <c r="H171" s="236">
        <f t="shared" si="17"/>
        <v>0</v>
      </c>
      <c r="I171" s="86">
        <f t="shared" si="17"/>
        <v>0</v>
      </c>
    </row>
  </sheetData>
  <mergeCells count="47">
    <mergeCell ref="A142:B149"/>
    <mergeCell ref="A155:B162"/>
    <mergeCell ref="B166:B171"/>
    <mergeCell ref="I129:O129"/>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61:A62"/>
    <mergeCell ref="B61:B62"/>
    <mergeCell ref="C61:C62"/>
    <mergeCell ref="A63:B70"/>
    <mergeCell ref="A72:A73"/>
    <mergeCell ref="B72:B73"/>
    <mergeCell ref="C72:C73"/>
    <mergeCell ref="D34:D35"/>
    <mergeCell ref="A48:A49"/>
    <mergeCell ref="B48:B49"/>
    <mergeCell ref="C48:C49"/>
    <mergeCell ref="D48:D49"/>
    <mergeCell ref="A50:B57"/>
    <mergeCell ref="B10:B11"/>
    <mergeCell ref="C10:C11"/>
    <mergeCell ref="C21:C22"/>
    <mergeCell ref="A23:B30"/>
    <mergeCell ref="A34:A35"/>
    <mergeCell ref="B34:B35"/>
    <mergeCell ref="C34:C3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55" workbookViewId="0">
      <selection activeCell="F114" sqref="F114"/>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399</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row>
    <row r="9" spans="1:17" ht="15.75" thickBot="1" x14ac:dyDescent="0.3">
      <c r="B9" s="10"/>
      <c r="O9" s="11"/>
      <c r="P9" s="11"/>
    </row>
    <row r="10" spans="1:17" s="11" customFormat="1" ht="18.75" x14ac:dyDescent="0.3">
      <c r="A10" s="12"/>
      <c r="B10" s="530" t="s">
        <v>5</v>
      </c>
      <c r="C10" s="532" t="s">
        <v>6</v>
      </c>
      <c r="D10" s="13"/>
      <c r="E10" s="14"/>
      <c r="F10" s="15" t="s">
        <v>7</v>
      </c>
      <c r="G10" s="16"/>
      <c r="H10" s="17"/>
      <c r="I10" s="18" t="s">
        <v>8</v>
      </c>
      <c r="J10" s="14"/>
      <c r="K10" s="14"/>
      <c r="L10" s="14"/>
      <c r="M10" s="14"/>
      <c r="N10" s="14"/>
      <c r="O10" s="19"/>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400</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89"/>
      <c r="E15" s="391"/>
      <c r="F15" s="391"/>
      <c r="G15" s="418"/>
      <c r="H15" s="36">
        <f t="shared" si="0"/>
        <v>0</v>
      </c>
      <c r="I15" s="419"/>
      <c r="J15" s="391"/>
      <c r="K15" s="391"/>
      <c r="L15" s="391"/>
      <c r="M15" s="391"/>
      <c r="N15" s="391"/>
      <c r="O15" s="415"/>
      <c r="P15" s="11"/>
      <c r="Q15" s="11"/>
    </row>
    <row r="16" spans="1:17" x14ac:dyDescent="0.25">
      <c r="A16" s="534"/>
      <c r="B16" s="535"/>
      <c r="C16" s="32">
        <v>2018</v>
      </c>
      <c r="D16" s="33"/>
      <c r="E16" s="34">
        <f>1+2+3+1+2</f>
        <v>9</v>
      </c>
      <c r="F16" s="34"/>
      <c r="G16" s="35"/>
      <c r="H16" s="36">
        <f t="shared" si="0"/>
        <v>9</v>
      </c>
      <c r="I16" s="37">
        <v>3</v>
      </c>
      <c r="J16" s="34"/>
      <c r="K16" s="34"/>
      <c r="L16" s="34"/>
      <c r="M16" s="34"/>
      <c r="N16" s="34"/>
      <c r="O16" s="38">
        <f>1+2+3</f>
        <v>6</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0</v>
      </c>
      <c r="E19" s="52">
        <f>SUM(E12:E18)</f>
        <v>9</v>
      </c>
      <c r="F19" s="52">
        <f>SUM(F12:F18)</f>
        <v>0</v>
      </c>
      <c r="G19" s="53"/>
      <c r="H19" s="54">
        <f>SUM(D19:F19)</f>
        <v>9</v>
      </c>
      <c r="I19" s="85">
        <f>SUM(I12:I18)</f>
        <v>3</v>
      </c>
      <c r="J19" s="52"/>
      <c r="K19" s="52">
        <f>SUM(K12:K18)</f>
        <v>0</v>
      </c>
      <c r="L19" s="52">
        <f>SUM(L12:L18)</f>
        <v>0</v>
      </c>
      <c r="M19" s="52">
        <f>SUM(M12:M18)</f>
        <v>0</v>
      </c>
      <c r="N19" s="52">
        <f>SUM(N12:N18)</f>
        <v>0</v>
      </c>
      <c r="O19" s="86">
        <f>SUM(O12:O18)</f>
        <v>6</v>
      </c>
      <c r="P19" s="11"/>
      <c r="Q19" s="11"/>
    </row>
    <row r="20" spans="1:17" ht="15.75" thickBot="1" x14ac:dyDescent="0.3">
      <c r="B20" s="10"/>
      <c r="D20" s="58"/>
      <c r="O20" s="11"/>
      <c r="P20" s="11"/>
    </row>
    <row r="21" spans="1:17" s="11" customFormat="1" ht="18.75" x14ac:dyDescent="0.3">
      <c r="A21" s="12"/>
      <c r="B21" s="59"/>
      <c r="C21" s="532" t="s">
        <v>6</v>
      </c>
      <c r="D21" s="13"/>
      <c r="E21" s="14"/>
      <c r="F21" s="15" t="s">
        <v>7</v>
      </c>
      <c r="G21" s="16"/>
      <c r="H21" s="17"/>
    </row>
    <row r="22" spans="1:17" s="11" customFormat="1" ht="44.25" customHeight="1" x14ac:dyDescent="0.3">
      <c r="A22" s="60" t="s">
        <v>22</v>
      </c>
      <c r="B22" s="519"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89"/>
      <c r="E26" s="391"/>
      <c r="F26" s="391"/>
      <c r="G26" s="418"/>
      <c r="H26" s="36">
        <f t="shared" si="1"/>
        <v>0</v>
      </c>
    </row>
    <row r="27" spans="1:17" x14ac:dyDescent="0.25">
      <c r="A27" s="534"/>
      <c r="B27" s="535"/>
      <c r="C27" s="32">
        <v>2018</v>
      </c>
      <c r="D27" s="33"/>
      <c r="E27" s="34">
        <f>79+95+161+47+44</f>
        <v>426</v>
      </c>
      <c r="F27" s="34"/>
      <c r="G27" s="35"/>
      <c r="H27" s="36">
        <f t="shared" si="1"/>
        <v>426</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0</v>
      </c>
      <c r="E30" s="52">
        <f>SUM(E23:E29)</f>
        <v>426</v>
      </c>
      <c r="F30" s="52">
        <f>SUM(F23:F29)</f>
        <v>0</v>
      </c>
      <c r="G30" s="52">
        <f>SUM(G23:G29)</f>
        <v>0</v>
      </c>
      <c r="H30" s="54">
        <f t="shared" ref="H30" si="2">SUM(D30:F30)</f>
        <v>426</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420"/>
      <c r="E39" s="419"/>
      <c r="F39" s="391"/>
      <c r="G39" s="391"/>
      <c r="H39" s="391"/>
      <c r="I39" s="391"/>
      <c r="J39" s="391"/>
      <c r="K39" s="415"/>
    </row>
    <row r="40" spans="1:13" x14ac:dyDescent="0.25">
      <c r="A40" s="540"/>
      <c r="B40" s="541"/>
      <c r="C40" s="32">
        <v>2018</v>
      </c>
      <c r="D40" s="78"/>
      <c r="E40" s="37"/>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422">
        <f>SUM(D36:D42)</f>
        <v>0</v>
      </c>
      <c r="E43" s="85">
        <f t="shared" ref="E43:J43" si="3">SUM(E36:E42)</f>
        <v>0</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423"/>
      <c r="M46" s="423"/>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4" s="11" customFormat="1" ht="117" customHeight="1" x14ac:dyDescent="0.25">
      <c r="A49" s="545"/>
      <c r="B49" s="547"/>
      <c r="C49" s="549"/>
      <c r="D49" s="551"/>
      <c r="E49" s="96" t="s">
        <v>15</v>
      </c>
      <c r="F49" s="97" t="s">
        <v>16</v>
      </c>
      <c r="G49" s="97" t="s">
        <v>17</v>
      </c>
      <c r="H49" s="98" t="s">
        <v>18</v>
      </c>
      <c r="I49" s="98" t="s">
        <v>29</v>
      </c>
      <c r="J49" s="99" t="s">
        <v>20</v>
      </c>
      <c r="K49" s="100" t="s">
        <v>21</v>
      </c>
    </row>
    <row r="50" spans="1:14" ht="15" customHeight="1" x14ac:dyDescent="0.25">
      <c r="A50" s="534" t="s">
        <v>401</v>
      </c>
      <c r="B50" s="535"/>
      <c r="C50" s="32">
        <v>2014</v>
      </c>
      <c r="D50" s="101"/>
      <c r="E50" s="37"/>
      <c r="F50" s="34"/>
      <c r="G50" s="34"/>
      <c r="H50" s="34"/>
      <c r="I50" s="34"/>
      <c r="J50" s="34"/>
      <c r="K50" s="38"/>
    </row>
    <row r="51" spans="1:14" x14ac:dyDescent="0.25">
      <c r="A51" s="534"/>
      <c r="B51" s="535"/>
      <c r="C51" s="32">
        <v>2015</v>
      </c>
      <c r="D51" s="101"/>
      <c r="E51" s="37"/>
      <c r="F51" s="34"/>
      <c r="G51" s="34"/>
      <c r="H51" s="34"/>
      <c r="I51" s="34"/>
      <c r="J51" s="34"/>
      <c r="K51" s="38"/>
    </row>
    <row r="52" spans="1:14" x14ac:dyDescent="0.25">
      <c r="A52" s="534"/>
      <c r="B52" s="535"/>
      <c r="C52" s="32">
        <v>2016</v>
      </c>
      <c r="D52" s="101"/>
      <c r="E52" s="37"/>
      <c r="F52" s="34"/>
      <c r="G52" s="34"/>
      <c r="H52" s="34"/>
      <c r="I52" s="34"/>
      <c r="J52" s="34"/>
      <c r="K52" s="38"/>
    </row>
    <row r="53" spans="1:14" x14ac:dyDescent="0.25">
      <c r="A53" s="534"/>
      <c r="B53" s="535"/>
      <c r="C53" s="32">
        <v>2017</v>
      </c>
      <c r="D53" s="424"/>
      <c r="E53" s="419"/>
      <c r="F53" s="391"/>
      <c r="G53" s="391"/>
      <c r="H53" s="391"/>
      <c r="I53" s="391"/>
      <c r="J53" s="391"/>
      <c r="K53" s="415"/>
    </row>
    <row r="54" spans="1:14" x14ac:dyDescent="0.25">
      <c r="A54" s="534"/>
      <c r="B54" s="535"/>
      <c r="C54" s="32">
        <v>2018</v>
      </c>
      <c r="D54" s="101">
        <v>15</v>
      </c>
      <c r="E54" s="37">
        <v>1</v>
      </c>
      <c r="F54" s="34">
        <v>1</v>
      </c>
      <c r="G54" s="34">
        <v>1</v>
      </c>
      <c r="H54" s="34">
        <v>1</v>
      </c>
      <c r="I54" s="34">
        <v>1</v>
      </c>
      <c r="J54" s="34">
        <v>9</v>
      </c>
      <c r="K54" s="38">
        <v>1</v>
      </c>
    </row>
    <row r="55" spans="1:14" x14ac:dyDescent="0.25">
      <c r="A55" s="534"/>
      <c r="B55" s="535"/>
      <c r="C55" s="32">
        <v>2019</v>
      </c>
      <c r="D55" s="101"/>
      <c r="E55" s="37"/>
      <c r="F55" s="34"/>
      <c r="G55" s="34"/>
      <c r="H55" s="34"/>
      <c r="I55" s="34"/>
      <c r="J55" s="34"/>
      <c r="K55" s="38"/>
    </row>
    <row r="56" spans="1:14" x14ac:dyDescent="0.25">
      <c r="A56" s="534"/>
      <c r="B56" s="535"/>
      <c r="C56" s="32">
        <v>2020</v>
      </c>
      <c r="D56" s="101"/>
      <c r="E56" s="37"/>
      <c r="F56" s="34"/>
      <c r="G56" s="34"/>
      <c r="H56" s="34"/>
      <c r="I56" s="34"/>
      <c r="J56" s="34"/>
      <c r="K56" s="38"/>
    </row>
    <row r="57" spans="1:14" ht="94.9" customHeight="1" thickBot="1" x14ac:dyDescent="0.3">
      <c r="A57" s="536"/>
      <c r="B57" s="537"/>
      <c r="C57" s="50" t="s">
        <v>14</v>
      </c>
      <c r="D57" s="103">
        <f t="shared" ref="D57:I57" si="4">SUM(D50:D56)</f>
        <v>15</v>
      </c>
      <c r="E57" s="85">
        <f t="shared" si="4"/>
        <v>1</v>
      </c>
      <c r="F57" s="52">
        <f t="shared" si="4"/>
        <v>1</v>
      </c>
      <c r="G57" s="52">
        <f t="shared" si="4"/>
        <v>1</v>
      </c>
      <c r="H57" s="52">
        <f t="shared" si="4"/>
        <v>1</v>
      </c>
      <c r="I57" s="52">
        <f t="shared" si="4"/>
        <v>1</v>
      </c>
      <c r="J57" s="52">
        <f>SUM(J50:J56)</f>
        <v>9</v>
      </c>
      <c r="K57" s="86">
        <f>SUM(K50:K56)</f>
        <v>1</v>
      </c>
    </row>
    <row r="58" spans="1:14" x14ac:dyDescent="0.25">
      <c r="B58" s="10"/>
    </row>
    <row r="59" spans="1:14" ht="21" x14ac:dyDescent="0.35">
      <c r="A59" s="104" t="s">
        <v>36</v>
      </c>
      <c r="B59" s="105"/>
      <c r="C59" s="104"/>
      <c r="D59" s="106"/>
      <c r="E59" s="106"/>
      <c r="F59" s="106"/>
      <c r="G59" s="106"/>
      <c r="H59" s="106"/>
      <c r="I59" s="106"/>
      <c r="J59" s="106"/>
      <c r="K59" s="106"/>
      <c r="L59" s="106"/>
      <c r="M59" s="11"/>
    </row>
    <row r="60" spans="1:14" ht="15" customHeight="1" thickBot="1" x14ac:dyDescent="0.4">
      <c r="A60" s="192"/>
      <c r="B60" s="92"/>
      <c r="M60" s="11"/>
    </row>
    <row r="61" spans="1:14" s="11" customFormat="1" x14ac:dyDescent="0.25">
      <c r="A61" s="558" t="s">
        <v>37</v>
      </c>
      <c r="B61" s="560" t="s">
        <v>38</v>
      </c>
      <c r="C61" s="562" t="s">
        <v>6</v>
      </c>
      <c r="D61" s="109"/>
      <c r="E61" s="110"/>
      <c r="F61" s="111" t="s">
        <v>39</v>
      </c>
      <c r="G61" s="112"/>
      <c r="H61" s="112"/>
      <c r="I61" s="112"/>
      <c r="J61" s="112"/>
      <c r="K61" s="112"/>
      <c r="L61" s="113"/>
      <c r="N61" s="425"/>
    </row>
    <row r="62" spans="1:14"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4" x14ac:dyDescent="0.25">
      <c r="A63" s="534" t="s">
        <v>402</v>
      </c>
      <c r="B63" s="535"/>
      <c r="C63" s="32">
        <v>2014</v>
      </c>
      <c r="D63" s="33"/>
      <c r="E63" s="34"/>
      <c r="F63" s="37"/>
      <c r="G63" s="34"/>
      <c r="H63" s="34"/>
      <c r="I63" s="34"/>
      <c r="J63" s="34"/>
      <c r="K63" s="34"/>
      <c r="L63" s="38"/>
      <c r="M63" s="11"/>
    </row>
    <row r="64" spans="1:14" x14ac:dyDescent="0.25">
      <c r="A64" s="534"/>
      <c r="B64" s="535"/>
      <c r="C64" s="32">
        <v>2015</v>
      </c>
      <c r="D64" s="33"/>
      <c r="E64" s="34"/>
      <c r="F64" s="37"/>
      <c r="G64" s="34"/>
      <c r="H64" s="34"/>
      <c r="I64" s="34"/>
      <c r="J64" s="34"/>
      <c r="K64" s="34"/>
      <c r="L64" s="38"/>
      <c r="M64" s="11"/>
    </row>
    <row r="65" spans="1:13" x14ac:dyDescent="0.25">
      <c r="A65" s="534"/>
      <c r="B65" s="535"/>
      <c r="C65" s="32">
        <v>2016</v>
      </c>
      <c r="D65" s="33"/>
      <c r="E65" s="34"/>
      <c r="F65" s="37"/>
      <c r="G65" s="34"/>
      <c r="H65" s="34"/>
      <c r="I65" s="34"/>
      <c r="J65" s="34"/>
      <c r="K65" s="34"/>
      <c r="L65" s="38"/>
      <c r="M65" s="11"/>
    </row>
    <row r="66" spans="1:13" x14ac:dyDescent="0.25">
      <c r="A66" s="534"/>
      <c r="B66" s="535"/>
      <c r="C66" s="32">
        <v>2017</v>
      </c>
      <c r="D66" s="389"/>
      <c r="E66" s="391"/>
      <c r="F66" s="419"/>
      <c r="G66" s="391"/>
      <c r="H66" s="391"/>
      <c r="I66" s="391"/>
      <c r="J66" s="391"/>
      <c r="K66" s="391"/>
      <c r="L66" s="415"/>
      <c r="M66" s="11"/>
    </row>
    <row r="67" spans="1:13" x14ac:dyDescent="0.25">
      <c r="A67" s="534"/>
      <c r="B67" s="535"/>
      <c r="C67" s="32">
        <v>2018</v>
      </c>
      <c r="D67" s="33">
        <v>5</v>
      </c>
      <c r="E67" s="34">
        <v>16</v>
      </c>
      <c r="F67" s="37">
        <v>3</v>
      </c>
      <c r="G67" s="34"/>
      <c r="H67" s="34"/>
      <c r="I67" s="34"/>
      <c r="J67" s="34"/>
      <c r="K67" s="34">
        <v>1</v>
      </c>
      <c r="L67" s="38">
        <v>1</v>
      </c>
      <c r="M67" s="11"/>
    </row>
    <row r="68" spans="1:13" x14ac:dyDescent="0.25">
      <c r="A68" s="534"/>
      <c r="B68" s="535"/>
      <c r="C68" s="32">
        <v>2019</v>
      </c>
      <c r="D68" s="33"/>
      <c r="E68" s="34"/>
      <c r="F68" s="37"/>
      <c r="G68" s="34"/>
      <c r="H68" s="34"/>
      <c r="I68" s="34"/>
      <c r="J68" s="34"/>
      <c r="K68" s="34"/>
      <c r="L68" s="38"/>
      <c r="M68" s="11"/>
    </row>
    <row r="69" spans="1:13" x14ac:dyDescent="0.25">
      <c r="A69" s="534"/>
      <c r="B69" s="535"/>
      <c r="C69" s="32">
        <v>2020</v>
      </c>
      <c r="D69" s="33"/>
      <c r="E69" s="34"/>
      <c r="F69" s="37"/>
      <c r="G69" s="34"/>
      <c r="H69" s="34"/>
      <c r="I69" s="34"/>
      <c r="J69" s="34"/>
      <c r="K69" s="34"/>
      <c r="L69" s="38"/>
      <c r="M69" s="11"/>
    </row>
    <row r="70" spans="1:13" ht="33" customHeight="1" thickBot="1" x14ac:dyDescent="0.3">
      <c r="A70" s="536"/>
      <c r="B70" s="537"/>
      <c r="C70" s="50" t="s">
        <v>14</v>
      </c>
      <c r="D70" s="51">
        <f t="shared" ref="D70:K70" si="5">SUM(D63:D69)</f>
        <v>5</v>
      </c>
      <c r="E70" s="52">
        <f t="shared" si="5"/>
        <v>16</v>
      </c>
      <c r="F70" s="85">
        <f t="shared" si="5"/>
        <v>3</v>
      </c>
      <c r="G70" s="52">
        <f t="shared" si="5"/>
        <v>0</v>
      </c>
      <c r="H70" s="52">
        <f t="shared" si="5"/>
        <v>0</v>
      </c>
      <c r="I70" s="52">
        <f t="shared" si="5"/>
        <v>0</v>
      </c>
      <c r="J70" s="52">
        <f t="shared" si="5"/>
        <v>0</v>
      </c>
      <c r="K70" s="52">
        <f t="shared" si="5"/>
        <v>1</v>
      </c>
      <c r="L70" s="86">
        <f>SUM(L63:L69)</f>
        <v>1</v>
      </c>
      <c r="M70" s="11"/>
    </row>
    <row r="71" spans="1:13" ht="15.75" thickBot="1" x14ac:dyDescent="0.3">
      <c r="A71" s="523"/>
      <c r="B71" s="427"/>
      <c r="D71" s="58"/>
    </row>
    <row r="72" spans="1:13" s="11" customFormat="1" ht="18.95" customHeight="1" x14ac:dyDescent="0.25">
      <c r="A72" s="558" t="s">
        <v>42</v>
      </c>
      <c r="B72" s="560" t="s">
        <v>43</v>
      </c>
      <c r="C72" s="562" t="s">
        <v>6</v>
      </c>
      <c r="D72" s="564" t="s">
        <v>44</v>
      </c>
      <c r="E72" s="111" t="s">
        <v>45</v>
      </c>
      <c r="F72" s="112"/>
      <c r="G72" s="112"/>
      <c r="H72" s="112"/>
      <c r="I72" s="112"/>
      <c r="J72" s="112"/>
      <c r="K72" s="113"/>
      <c r="L72"/>
      <c r="M72" s="425"/>
    </row>
    <row r="73" spans="1:13"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3" ht="15" customHeight="1" x14ac:dyDescent="0.25">
      <c r="A74" s="534" t="s">
        <v>403</v>
      </c>
      <c r="B74" s="535"/>
      <c r="C74" s="32">
        <v>2014</v>
      </c>
      <c r="D74" s="34"/>
      <c r="E74" s="37"/>
      <c r="F74" s="34"/>
      <c r="G74" s="34"/>
      <c r="H74" s="34"/>
      <c r="I74" s="34"/>
      <c r="J74" s="34"/>
      <c r="K74" s="38"/>
    </row>
    <row r="75" spans="1:13" x14ac:dyDescent="0.25">
      <c r="A75" s="534"/>
      <c r="B75" s="535"/>
      <c r="C75" s="32">
        <v>2015</v>
      </c>
      <c r="D75" s="34"/>
      <c r="E75" s="37"/>
      <c r="F75" s="34"/>
      <c r="G75" s="34"/>
      <c r="H75" s="34"/>
      <c r="I75" s="34"/>
      <c r="J75" s="34"/>
      <c r="K75" s="38"/>
    </row>
    <row r="76" spans="1:13" x14ac:dyDescent="0.25">
      <c r="A76" s="534"/>
      <c r="B76" s="535"/>
      <c r="C76" s="32">
        <v>2016</v>
      </c>
      <c r="D76" s="34"/>
      <c r="E76" s="37"/>
      <c r="F76" s="34"/>
      <c r="G76" s="34"/>
      <c r="H76" s="34"/>
      <c r="I76" s="34"/>
      <c r="J76" s="34"/>
      <c r="K76" s="38"/>
    </row>
    <row r="77" spans="1:13" x14ac:dyDescent="0.25">
      <c r="A77" s="534"/>
      <c r="B77" s="535"/>
      <c r="C77" s="32">
        <v>2017</v>
      </c>
      <c r="D77" s="391"/>
      <c r="E77" s="419"/>
      <c r="F77" s="391"/>
      <c r="G77" s="391"/>
      <c r="H77" s="391"/>
      <c r="I77" s="391"/>
      <c r="J77" s="391"/>
      <c r="K77" s="415"/>
    </row>
    <row r="78" spans="1:13" x14ac:dyDescent="0.25">
      <c r="A78" s="534"/>
      <c r="B78" s="535"/>
      <c r="C78" s="32">
        <v>2018</v>
      </c>
      <c r="D78" s="34">
        <v>1</v>
      </c>
      <c r="E78" s="37"/>
      <c r="F78" s="34"/>
      <c r="G78" s="34"/>
      <c r="H78" s="34"/>
      <c r="I78" s="34"/>
      <c r="J78" s="34">
        <v>1</v>
      </c>
      <c r="K78" s="38">
        <v>1</v>
      </c>
    </row>
    <row r="79" spans="1:13" x14ac:dyDescent="0.25">
      <c r="A79" s="534"/>
      <c r="B79" s="535"/>
      <c r="C79" s="32">
        <v>2019</v>
      </c>
      <c r="D79" s="34"/>
      <c r="E79" s="37"/>
      <c r="F79" s="34"/>
      <c r="G79" s="34"/>
      <c r="H79" s="34"/>
      <c r="I79" s="34"/>
      <c r="J79" s="34"/>
      <c r="K79" s="38"/>
    </row>
    <row r="80" spans="1:13" x14ac:dyDescent="0.25">
      <c r="A80" s="534"/>
      <c r="B80" s="535"/>
      <c r="C80" s="32">
        <v>2020</v>
      </c>
      <c r="D80" s="34"/>
      <c r="E80" s="37"/>
      <c r="F80" s="34"/>
      <c r="G80" s="34"/>
      <c r="H80" s="34"/>
      <c r="I80" s="34"/>
      <c r="J80" s="34"/>
      <c r="K80" s="38"/>
    </row>
    <row r="81" spans="1:14" ht="42" customHeight="1" thickBot="1" x14ac:dyDescent="0.3">
      <c r="A81" s="536"/>
      <c r="B81" s="537"/>
      <c r="C81" s="50" t="s">
        <v>14</v>
      </c>
      <c r="D81" s="52">
        <f t="shared" ref="D81:J81" si="6">SUM(D74:D80)</f>
        <v>1</v>
      </c>
      <c r="E81" s="85">
        <f t="shared" si="6"/>
        <v>0</v>
      </c>
      <c r="F81" s="52">
        <f t="shared" si="6"/>
        <v>0</v>
      </c>
      <c r="G81" s="52">
        <f t="shared" si="6"/>
        <v>0</v>
      </c>
      <c r="H81" s="52">
        <f t="shared" si="6"/>
        <v>0</v>
      </c>
      <c r="I81" s="52">
        <f t="shared" si="6"/>
        <v>0</v>
      </c>
      <c r="J81" s="52">
        <f t="shared" si="6"/>
        <v>1</v>
      </c>
      <c r="K81" s="86">
        <f>SUM(K74:K80)</f>
        <v>1</v>
      </c>
    </row>
    <row r="82" spans="1:14" ht="15" customHeight="1" thickBot="1" x14ac:dyDescent="0.4">
      <c r="A82" s="192"/>
      <c r="B82" s="92"/>
    </row>
    <row r="83" spans="1:14" ht="24.95" customHeight="1" x14ac:dyDescent="0.25">
      <c r="A83" s="558" t="s">
        <v>46</v>
      </c>
      <c r="B83" s="560" t="s">
        <v>43</v>
      </c>
      <c r="C83" s="562" t="s">
        <v>6</v>
      </c>
      <c r="D83" s="566" t="s">
        <v>47</v>
      </c>
      <c r="E83" s="111" t="s">
        <v>48</v>
      </c>
      <c r="F83" s="112"/>
      <c r="G83" s="112"/>
      <c r="H83" s="112"/>
      <c r="I83" s="112"/>
      <c r="J83" s="112"/>
      <c r="K83" s="113"/>
      <c r="L83" s="11"/>
    </row>
    <row r="84" spans="1:14"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4" s="11" customFormat="1" ht="18" customHeight="1" x14ac:dyDescent="0.25">
      <c r="A85" s="534" t="s">
        <v>404</v>
      </c>
      <c r="B85" s="535"/>
      <c r="C85" s="32">
        <v>2014</v>
      </c>
      <c r="D85" s="34"/>
      <c r="E85" s="37"/>
      <c r="F85" s="34"/>
      <c r="G85" s="34"/>
      <c r="H85" s="34"/>
      <c r="I85" s="34"/>
      <c r="J85" s="34"/>
      <c r="K85" s="38"/>
      <c r="L85"/>
    </row>
    <row r="86" spans="1:14" ht="15.95" customHeight="1" x14ac:dyDescent="0.25">
      <c r="A86" s="534"/>
      <c r="B86" s="535"/>
      <c r="C86" s="32">
        <v>2015</v>
      </c>
      <c r="D86" s="34"/>
      <c r="E86" s="37"/>
      <c r="F86" s="34"/>
      <c r="G86" s="34"/>
      <c r="H86" s="34"/>
      <c r="I86" s="34"/>
      <c r="J86" s="34"/>
      <c r="K86" s="38"/>
    </row>
    <row r="87" spans="1:14" x14ac:dyDescent="0.25">
      <c r="A87" s="534"/>
      <c r="B87" s="535"/>
      <c r="C87" s="32">
        <v>2016</v>
      </c>
      <c r="D87" s="34"/>
      <c r="E87" s="37"/>
      <c r="F87" s="34"/>
      <c r="G87" s="34"/>
      <c r="H87" s="34"/>
      <c r="I87" s="34"/>
      <c r="J87" s="34"/>
      <c r="K87" s="38"/>
    </row>
    <row r="88" spans="1:14" x14ac:dyDescent="0.25">
      <c r="A88" s="534"/>
      <c r="B88" s="535"/>
      <c r="C88" s="32">
        <v>2017</v>
      </c>
      <c r="D88" s="391"/>
      <c r="E88" s="419"/>
      <c r="F88" s="391"/>
      <c r="G88" s="391"/>
      <c r="H88" s="391"/>
      <c r="I88" s="391"/>
      <c r="J88" s="391"/>
      <c r="K88" s="415"/>
    </row>
    <row r="89" spans="1:14" x14ac:dyDescent="0.25">
      <c r="A89" s="534"/>
      <c r="B89" s="535"/>
      <c r="C89" s="32">
        <v>2018</v>
      </c>
      <c r="D89" s="34">
        <v>1</v>
      </c>
      <c r="E89" s="37"/>
      <c r="F89" s="34"/>
      <c r="G89" s="34"/>
      <c r="H89" s="34"/>
      <c r="I89" s="34"/>
      <c r="J89" s="34">
        <v>1</v>
      </c>
      <c r="K89" s="38"/>
      <c r="L89" s="11"/>
    </row>
    <row r="90" spans="1:14" x14ac:dyDescent="0.25">
      <c r="A90" s="534"/>
      <c r="B90" s="535"/>
      <c r="C90" s="32">
        <v>2019</v>
      </c>
      <c r="D90" s="34"/>
      <c r="E90" s="37"/>
      <c r="F90" s="34"/>
      <c r="G90" s="34"/>
      <c r="H90" s="34"/>
      <c r="I90" s="34"/>
      <c r="J90" s="34"/>
      <c r="K90" s="38"/>
    </row>
    <row r="91" spans="1:14" x14ac:dyDescent="0.25">
      <c r="A91" s="534"/>
      <c r="B91" s="535"/>
      <c r="C91" s="32">
        <v>2020</v>
      </c>
      <c r="D91" s="34"/>
      <c r="E91" s="37"/>
      <c r="F91" s="34"/>
      <c r="G91" s="34"/>
      <c r="H91" s="34"/>
      <c r="I91" s="34"/>
      <c r="J91" s="34"/>
      <c r="K91" s="38"/>
    </row>
    <row r="92" spans="1:14" ht="18.95" customHeight="1" thickBot="1" x14ac:dyDescent="0.3">
      <c r="A92" s="536"/>
      <c r="B92" s="537"/>
      <c r="C92" s="50" t="s">
        <v>14</v>
      </c>
      <c r="D92" s="52">
        <f t="shared" ref="D92:J92" si="7">SUM(D85:D91)</f>
        <v>1</v>
      </c>
      <c r="E92" s="85">
        <f t="shared" si="7"/>
        <v>0</v>
      </c>
      <c r="F92" s="52">
        <f t="shared" si="7"/>
        <v>0</v>
      </c>
      <c r="G92" s="52">
        <f t="shared" si="7"/>
        <v>0</v>
      </c>
      <c r="H92" s="52">
        <f t="shared" si="7"/>
        <v>0</v>
      </c>
      <c r="I92" s="52">
        <f t="shared" si="7"/>
        <v>0</v>
      </c>
      <c r="J92" s="52">
        <f t="shared" si="7"/>
        <v>1</v>
      </c>
      <c r="K92" s="86">
        <f>SUM(K85:K91)</f>
        <v>0</v>
      </c>
    </row>
    <row r="93" spans="1:14" ht="18.75" customHeight="1" thickBot="1" x14ac:dyDescent="0.4">
      <c r="A93" s="192"/>
      <c r="B93" s="92"/>
    </row>
    <row r="94" spans="1:14" x14ac:dyDescent="0.25">
      <c r="A94" s="568" t="s">
        <v>49</v>
      </c>
      <c r="B94" s="560" t="s">
        <v>50</v>
      </c>
      <c r="C94" s="520" t="s">
        <v>6</v>
      </c>
      <c r="D94" s="139" t="s">
        <v>51</v>
      </c>
      <c r="E94" s="140"/>
      <c r="F94" s="140"/>
      <c r="G94" s="141"/>
      <c r="H94" s="11"/>
      <c r="I94" s="11"/>
      <c r="J94" s="11"/>
      <c r="K94" s="11"/>
    </row>
    <row r="95" spans="1:14" ht="64.5" x14ac:dyDescent="0.25">
      <c r="A95" s="559"/>
      <c r="B95" s="561"/>
      <c r="C95" s="521"/>
      <c r="D95" s="115" t="s">
        <v>52</v>
      </c>
      <c r="E95" s="116" t="s">
        <v>53</v>
      </c>
      <c r="F95" s="116" t="s">
        <v>54</v>
      </c>
      <c r="G95" s="143" t="s">
        <v>14</v>
      </c>
      <c r="H95" s="11"/>
      <c r="I95" s="11"/>
      <c r="J95" s="11"/>
      <c r="K95" s="11"/>
      <c r="L95" s="11"/>
      <c r="M95" s="11"/>
      <c r="N95" s="11"/>
    </row>
    <row r="96" spans="1:14" s="11" customFormat="1" ht="26.25" customHeight="1" x14ac:dyDescent="0.25">
      <c r="A96" s="534" t="s">
        <v>35</v>
      </c>
      <c r="B96" s="535"/>
      <c r="C96" s="32">
        <v>2015</v>
      </c>
      <c r="D96" s="33"/>
      <c r="E96" s="34"/>
      <c r="F96" s="34"/>
      <c r="G96" s="36">
        <f t="shared" ref="G96:G101" si="8">SUM(D96:F96)</f>
        <v>0</v>
      </c>
      <c r="H96"/>
      <c r="I96"/>
      <c r="J96"/>
      <c r="K96"/>
    </row>
    <row r="97" spans="1:14" s="11" customFormat="1" ht="16.5" customHeight="1" x14ac:dyDescent="0.25">
      <c r="A97" s="534"/>
      <c r="B97" s="535"/>
      <c r="C97" s="32">
        <v>2016</v>
      </c>
      <c r="D97" s="33"/>
      <c r="E97" s="34"/>
      <c r="F97" s="34"/>
      <c r="G97" s="36">
        <f t="shared" si="8"/>
        <v>0</v>
      </c>
      <c r="H97"/>
      <c r="I97"/>
      <c r="J97"/>
      <c r="K97"/>
      <c r="L97"/>
      <c r="M97"/>
      <c r="N97"/>
    </row>
    <row r="98" spans="1:14" x14ac:dyDescent="0.25">
      <c r="A98" s="534"/>
      <c r="B98" s="535"/>
      <c r="C98" s="32">
        <v>2017</v>
      </c>
      <c r="D98" s="389"/>
      <c r="E98" s="391"/>
      <c r="F98" s="391"/>
      <c r="G98" s="36">
        <f t="shared" si="8"/>
        <v>0</v>
      </c>
    </row>
    <row r="99" spans="1:14" x14ac:dyDescent="0.25">
      <c r="A99" s="534"/>
      <c r="B99" s="535"/>
      <c r="C99" s="32">
        <v>2018</v>
      </c>
      <c r="D99" s="33">
        <v>682</v>
      </c>
      <c r="E99" s="34">
        <v>86</v>
      </c>
      <c r="F99" s="34">
        <v>647</v>
      </c>
      <c r="G99" s="36">
        <f t="shared" si="8"/>
        <v>1415</v>
      </c>
    </row>
    <row r="100" spans="1:14" x14ac:dyDescent="0.25">
      <c r="A100" s="534"/>
      <c r="B100" s="535"/>
      <c r="C100" s="32">
        <v>2019</v>
      </c>
      <c r="D100" s="33"/>
      <c r="E100" s="34"/>
      <c r="F100" s="34"/>
      <c r="G100" s="36">
        <f t="shared" si="8"/>
        <v>0</v>
      </c>
    </row>
    <row r="101" spans="1:14" x14ac:dyDescent="0.25">
      <c r="A101" s="534"/>
      <c r="B101" s="535"/>
      <c r="C101" s="32">
        <v>2020</v>
      </c>
      <c r="D101" s="33"/>
      <c r="E101" s="34"/>
      <c r="F101" s="34"/>
      <c r="G101" s="36">
        <f t="shared" si="8"/>
        <v>0</v>
      </c>
    </row>
    <row r="102" spans="1:14" ht="15.75" thickBot="1" x14ac:dyDescent="0.3">
      <c r="A102" s="536"/>
      <c r="B102" s="537"/>
      <c r="C102" s="50" t="s">
        <v>14</v>
      </c>
      <c r="D102" s="51">
        <f>SUM(D95:D101)</f>
        <v>682</v>
      </c>
      <c r="E102" s="52">
        <f>SUM(E95:E101)</f>
        <v>86</v>
      </c>
      <c r="F102" s="52">
        <f>SUM(F95:F101)</f>
        <v>647</v>
      </c>
      <c r="G102" s="145">
        <f>SUM(G95:G101)</f>
        <v>1415</v>
      </c>
    </row>
    <row r="103" spans="1:14" x14ac:dyDescent="0.25">
      <c r="A103" s="427"/>
      <c r="B103" s="428"/>
      <c r="C103" s="58"/>
      <c r="D103" s="58"/>
      <c r="J103" s="91"/>
    </row>
    <row r="104" spans="1:14" ht="21" x14ac:dyDescent="0.35">
      <c r="A104" s="151" t="s">
        <v>55</v>
      </c>
      <c r="B104" s="152"/>
      <c r="C104" s="151"/>
      <c r="D104" s="153"/>
      <c r="E104" s="153"/>
      <c r="F104" s="153"/>
      <c r="G104" s="153"/>
      <c r="H104" s="153"/>
      <c r="I104" s="153"/>
      <c r="J104" s="153"/>
      <c r="K104" s="153"/>
      <c r="L104" s="153"/>
    </row>
    <row r="105" spans="1:14" ht="15.75" thickBot="1" x14ac:dyDescent="0.3">
      <c r="B105" s="10"/>
    </row>
    <row r="106" spans="1:14" s="11" customFormat="1" ht="47.25" customHeight="1" x14ac:dyDescent="0.25">
      <c r="A106" s="569" t="s">
        <v>56</v>
      </c>
      <c r="B106" s="571" t="s">
        <v>57</v>
      </c>
      <c r="C106" s="573" t="s">
        <v>6</v>
      </c>
      <c r="D106" s="154" t="s">
        <v>58</v>
      </c>
      <c r="E106" s="154"/>
      <c r="F106" s="155"/>
      <c r="G106" s="155"/>
      <c r="H106" s="156" t="s">
        <v>59</v>
      </c>
      <c r="I106" s="154"/>
      <c r="J106" s="157"/>
    </row>
    <row r="107" spans="1:14" s="11" customFormat="1" ht="87.75" customHeight="1" x14ac:dyDescent="0.25">
      <c r="A107" s="570"/>
      <c r="B107" s="572"/>
      <c r="C107" s="574"/>
      <c r="D107" s="158" t="s">
        <v>60</v>
      </c>
      <c r="E107" s="159" t="s">
        <v>61</v>
      </c>
      <c r="F107" s="160" t="s">
        <v>62</v>
      </c>
      <c r="G107" s="161" t="s">
        <v>63</v>
      </c>
      <c r="H107" s="158" t="s">
        <v>64</v>
      </c>
      <c r="I107" s="159" t="s">
        <v>65</v>
      </c>
      <c r="J107" s="162" t="s">
        <v>66</v>
      </c>
    </row>
    <row r="108" spans="1:14" x14ac:dyDescent="0.25">
      <c r="A108" s="534" t="s">
        <v>405</v>
      </c>
      <c r="B108" s="535"/>
      <c r="C108" s="163">
        <v>2014</v>
      </c>
      <c r="D108" s="33"/>
      <c r="E108" s="34"/>
      <c r="F108" s="204"/>
      <c r="G108" s="203">
        <f>SUM(D108:F108)</f>
        <v>0</v>
      </c>
      <c r="H108" s="33"/>
      <c r="I108" s="34"/>
      <c r="J108" s="38"/>
    </row>
    <row r="109" spans="1:14" x14ac:dyDescent="0.25">
      <c r="A109" s="534"/>
      <c r="B109" s="535"/>
      <c r="C109" s="163">
        <v>2015</v>
      </c>
      <c r="D109" s="33"/>
      <c r="E109" s="34"/>
      <c r="F109" s="204"/>
      <c r="G109" s="203">
        <f t="shared" ref="G109:G114" si="9">SUM(D109:F109)</f>
        <v>0</v>
      </c>
      <c r="H109" s="33"/>
      <c r="I109" s="34"/>
      <c r="J109" s="38"/>
    </row>
    <row r="110" spans="1:14" x14ac:dyDescent="0.25">
      <c r="A110" s="534"/>
      <c r="B110" s="535"/>
      <c r="C110" s="163">
        <v>2016</v>
      </c>
      <c r="D110" s="33"/>
      <c r="E110" s="34"/>
      <c r="F110" s="204"/>
      <c r="G110" s="203">
        <f t="shared" si="9"/>
        <v>0</v>
      </c>
      <c r="H110" s="33"/>
      <c r="I110" s="34"/>
      <c r="J110" s="38"/>
    </row>
    <row r="111" spans="1:14" x14ac:dyDescent="0.25">
      <c r="A111" s="534"/>
      <c r="B111" s="535"/>
      <c r="C111" s="163">
        <v>2017</v>
      </c>
      <c r="D111" s="389"/>
      <c r="E111" s="391"/>
      <c r="F111" s="429"/>
      <c r="G111" s="203">
        <f t="shared" si="9"/>
        <v>0</v>
      </c>
      <c r="H111" s="430"/>
      <c r="I111" s="431"/>
      <c r="J111" s="432"/>
    </row>
    <row r="112" spans="1:14" x14ac:dyDescent="0.25">
      <c r="A112" s="534"/>
      <c r="B112" s="535"/>
      <c r="C112" s="163">
        <v>2018</v>
      </c>
      <c r="D112" s="33">
        <v>3</v>
      </c>
      <c r="E112" s="34">
        <v>3</v>
      </c>
      <c r="F112" s="204">
        <v>7</v>
      </c>
      <c r="G112" s="203">
        <f t="shared" si="9"/>
        <v>13</v>
      </c>
      <c r="H112" s="33">
        <v>13</v>
      </c>
      <c r="I112" s="34"/>
      <c r="J112" s="38"/>
    </row>
    <row r="113" spans="1:19" x14ac:dyDescent="0.25">
      <c r="A113" s="534"/>
      <c r="B113" s="535"/>
      <c r="C113" s="163">
        <v>2019</v>
      </c>
      <c r="D113" s="33"/>
      <c r="E113" s="34"/>
      <c r="F113" s="204"/>
      <c r="G113" s="203">
        <f t="shared" si="9"/>
        <v>0</v>
      </c>
      <c r="H113" s="33"/>
      <c r="I113" s="34"/>
      <c r="J113" s="38"/>
    </row>
    <row r="114" spans="1:19" x14ac:dyDescent="0.25">
      <c r="A114" s="534"/>
      <c r="B114" s="535"/>
      <c r="C114" s="163">
        <v>2020</v>
      </c>
      <c r="D114" s="33"/>
      <c r="E114" s="34"/>
      <c r="F114" s="204"/>
      <c r="G114" s="203">
        <f t="shared" si="9"/>
        <v>0</v>
      </c>
      <c r="H114" s="33"/>
      <c r="I114" s="34"/>
      <c r="J114" s="38"/>
    </row>
    <row r="115" spans="1:19" ht="30.6" customHeight="1" thickBot="1" x14ac:dyDescent="0.3">
      <c r="A115" s="536"/>
      <c r="B115" s="537"/>
      <c r="C115" s="172" t="s">
        <v>14</v>
      </c>
      <c r="D115" s="51">
        <f t="shared" ref="D115:J115" si="10">SUM(D108:D114)</f>
        <v>3</v>
      </c>
      <c r="E115" s="52">
        <f t="shared" si="10"/>
        <v>3</v>
      </c>
      <c r="F115" s="205">
        <f t="shared" si="10"/>
        <v>7</v>
      </c>
      <c r="G115" s="205">
        <f t="shared" si="10"/>
        <v>13</v>
      </c>
      <c r="H115" s="51">
        <f t="shared" si="10"/>
        <v>13</v>
      </c>
      <c r="I115" s="52">
        <f t="shared" si="10"/>
        <v>0</v>
      </c>
      <c r="J115" s="175">
        <f t="shared" si="10"/>
        <v>0</v>
      </c>
    </row>
    <row r="116" spans="1:19" ht="17.100000000000001" customHeight="1" thickBot="1" x14ac:dyDescent="0.3">
      <c r="A116" s="433"/>
      <c r="B116" s="428"/>
      <c r="C116" s="434"/>
      <c r="D116" s="435"/>
      <c r="H116" s="436"/>
      <c r="K116" s="91"/>
    </row>
    <row r="117" spans="1:19" s="11" customFormat="1" ht="78" customHeight="1" x14ac:dyDescent="0.3">
      <c r="A117" s="180" t="s">
        <v>67</v>
      </c>
      <c r="B117" s="522" t="s">
        <v>38</v>
      </c>
      <c r="C117" s="182" t="s">
        <v>6</v>
      </c>
      <c r="D117" s="183" t="s">
        <v>68</v>
      </c>
      <c r="E117" s="184" t="s">
        <v>69</v>
      </c>
      <c r="F117" s="184" t="s">
        <v>70</v>
      </c>
      <c r="G117" s="184" t="s">
        <v>71</v>
      </c>
      <c r="H117" s="184" t="s">
        <v>72</v>
      </c>
      <c r="I117" s="185" t="s">
        <v>73</v>
      </c>
      <c r="J117" s="186" t="s">
        <v>74</v>
      </c>
      <c r="K117" s="186" t="s">
        <v>75</v>
      </c>
    </row>
    <row r="118" spans="1:19" x14ac:dyDescent="0.25">
      <c r="A118" s="534" t="s">
        <v>406</v>
      </c>
      <c r="B118" s="535"/>
      <c r="C118" s="32">
        <v>2014</v>
      </c>
      <c r="D118" s="37"/>
      <c r="E118" s="34"/>
      <c r="F118" s="34"/>
      <c r="G118" s="34"/>
      <c r="H118" s="34"/>
      <c r="I118" s="38"/>
      <c r="J118" s="316">
        <f t="shared" ref="J118:K124" si="11">D118+F118+H118</f>
        <v>0</v>
      </c>
      <c r="K118" s="316">
        <f t="shared" si="11"/>
        <v>0</v>
      </c>
    </row>
    <row r="119" spans="1:19" x14ac:dyDescent="0.25">
      <c r="A119" s="534"/>
      <c r="B119" s="535"/>
      <c r="C119" s="32">
        <v>2015</v>
      </c>
      <c r="D119" s="37"/>
      <c r="E119" s="34"/>
      <c r="F119" s="34"/>
      <c r="G119" s="34"/>
      <c r="H119" s="34"/>
      <c r="I119" s="38"/>
      <c r="J119" s="316">
        <f t="shared" si="11"/>
        <v>0</v>
      </c>
      <c r="K119" s="316">
        <f t="shared" si="11"/>
        <v>0</v>
      </c>
    </row>
    <row r="120" spans="1:19" x14ac:dyDescent="0.25">
      <c r="A120" s="534"/>
      <c r="B120" s="535"/>
      <c r="C120" s="32">
        <v>2016</v>
      </c>
      <c r="D120" s="37"/>
      <c r="E120" s="34"/>
      <c r="F120" s="34"/>
      <c r="G120" s="34"/>
      <c r="H120" s="34"/>
      <c r="I120" s="38"/>
      <c r="J120" s="316">
        <f t="shared" si="11"/>
        <v>0</v>
      </c>
      <c r="K120" s="316">
        <f t="shared" si="11"/>
        <v>0</v>
      </c>
    </row>
    <row r="121" spans="1:19" x14ac:dyDescent="0.25">
      <c r="A121" s="534"/>
      <c r="B121" s="535"/>
      <c r="C121" s="32">
        <v>2017</v>
      </c>
      <c r="D121" s="419"/>
      <c r="E121" s="391"/>
      <c r="F121" s="391"/>
      <c r="G121" s="391"/>
      <c r="H121" s="391"/>
      <c r="I121" s="415"/>
      <c r="J121" s="316">
        <f t="shared" si="11"/>
        <v>0</v>
      </c>
      <c r="K121" s="316">
        <f t="shared" si="11"/>
        <v>0</v>
      </c>
    </row>
    <row r="122" spans="1:19" x14ac:dyDescent="0.25">
      <c r="A122" s="534"/>
      <c r="B122" s="535"/>
      <c r="C122" s="32">
        <v>2018</v>
      </c>
      <c r="D122" s="37">
        <v>4</v>
      </c>
      <c r="E122" s="34">
        <v>43</v>
      </c>
      <c r="F122" s="34"/>
      <c r="G122" s="34">
        <v>7</v>
      </c>
      <c r="H122" s="34"/>
      <c r="I122" s="38">
        <v>4</v>
      </c>
      <c r="J122" s="316">
        <f t="shared" si="11"/>
        <v>4</v>
      </c>
      <c r="K122" s="316">
        <f t="shared" si="11"/>
        <v>54</v>
      </c>
    </row>
    <row r="123" spans="1:19" x14ac:dyDescent="0.25">
      <c r="A123" s="534"/>
      <c r="B123" s="535"/>
      <c r="C123" s="32">
        <v>2019</v>
      </c>
      <c r="D123" s="37"/>
      <c r="E123" s="34"/>
      <c r="F123" s="34"/>
      <c r="G123" s="34"/>
      <c r="H123" s="34"/>
      <c r="I123" s="38"/>
      <c r="J123" s="316">
        <f t="shared" si="11"/>
        <v>0</v>
      </c>
      <c r="K123" s="316">
        <f t="shared" si="11"/>
        <v>0</v>
      </c>
    </row>
    <row r="124" spans="1:19" x14ac:dyDescent="0.25">
      <c r="A124" s="534"/>
      <c r="B124" s="535"/>
      <c r="C124" s="32">
        <v>2020</v>
      </c>
      <c r="D124" s="37"/>
      <c r="E124" s="34"/>
      <c r="F124" s="34"/>
      <c r="G124" s="34"/>
      <c r="H124" s="34"/>
      <c r="I124" s="38"/>
      <c r="J124" s="316">
        <f t="shared" si="11"/>
        <v>0</v>
      </c>
      <c r="K124" s="316">
        <f t="shared" si="11"/>
        <v>0</v>
      </c>
    </row>
    <row r="125" spans="1:19" ht="51" customHeight="1" thickBot="1" x14ac:dyDescent="0.3">
      <c r="A125" s="536"/>
      <c r="B125" s="537"/>
      <c r="C125" s="50" t="s">
        <v>14</v>
      </c>
      <c r="D125" s="85"/>
      <c r="E125" s="52">
        <f>SUM(E118:E124)</f>
        <v>43</v>
      </c>
      <c r="F125" s="52"/>
      <c r="G125" s="52">
        <f>SUM(G118:G124)</f>
        <v>7</v>
      </c>
      <c r="H125" s="52"/>
      <c r="I125" s="86">
        <f>SUM(I118:I124)</f>
        <v>4</v>
      </c>
      <c r="J125" s="86">
        <f>SUM(J118:J124)</f>
        <v>4</v>
      </c>
      <c r="K125" s="86">
        <f>SUM(K118:K124)</f>
        <v>54</v>
      </c>
    </row>
    <row r="126" spans="1:19" ht="18.95" customHeight="1" x14ac:dyDescent="0.25">
      <c r="A126" s="437"/>
      <c r="B126" s="428"/>
      <c r="C126" s="58"/>
      <c r="D126" s="58"/>
      <c r="S126" s="91"/>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89"/>
      <c r="E134" s="391"/>
      <c r="F134" s="391"/>
      <c r="G134" s="203">
        <f t="shared" si="12"/>
        <v>0</v>
      </c>
      <c r="H134" s="101"/>
      <c r="I134" s="419"/>
      <c r="J134" s="391"/>
      <c r="K134" s="391"/>
      <c r="L134" s="391"/>
      <c r="M134" s="391"/>
      <c r="N134" s="391"/>
      <c r="O134" s="415"/>
    </row>
    <row r="135" spans="1:15" x14ac:dyDescent="0.25">
      <c r="A135" s="589"/>
      <c r="B135" s="590"/>
      <c r="C135" s="32">
        <v>2018</v>
      </c>
      <c r="D135" s="33"/>
      <c r="E135" s="34"/>
      <c r="F135" s="34"/>
      <c r="G135" s="203">
        <f t="shared" si="12"/>
        <v>0</v>
      </c>
      <c r="H135" s="101"/>
      <c r="I135" s="37"/>
      <c r="J135" s="34"/>
      <c r="K135" s="34"/>
      <c r="L135" s="34"/>
      <c r="M135" s="34"/>
      <c r="N135" s="34"/>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0</v>
      </c>
      <c r="E138" s="52">
        <f>SUM(E131:E137)</f>
        <v>0</v>
      </c>
      <c r="F138" s="52">
        <f>SUM(F131:F137)</f>
        <v>0</v>
      </c>
      <c r="G138" s="205">
        <f t="shared" ref="G138:O138" si="13">SUM(G131:G137)</f>
        <v>0</v>
      </c>
      <c r="H138" s="206">
        <f t="shared" si="13"/>
        <v>0</v>
      </c>
      <c r="I138" s="85">
        <f t="shared" si="13"/>
        <v>0</v>
      </c>
      <c r="J138" s="52">
        <f t="shared" si="13"/>
        <v>0</v>
      </c>
      <c r="K138" s="52">
        <f t="shared" si="13"/>
        <v>0</v>
      </c>
      <c r="L138" s="52">
        <f t="shared" si="13"/>
        <v>0</v>
      </c>
      <c r="M138" s="52">
        <f t="shared" si="13"/>
        <v>0</v>
      </c>
      <c r="N138" s="52">
        <f t="shared" si="13"/>
        <v>0</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122</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2" x14ac:dyDescent="0.25">
      <c r="A145" s="534"/>
      <c r="B145" s="535"/>
      <c r="C145" s="32">
        <v>2017</v>
      </c>
      <c r="D145" s="389"/>
      <c r="E145" s="391"/>
      <c r="F145" s="391"/>
      <c r="G145" s="214">
        <f t="shared" si="14"/>
        <v>0</v>
      </c>
      <c r="H145" s="419"/>
      <c r="I145" s="391"/>
      <c r="J145" s="391"/>
      <c r="K145" s="391"/>
      <c r="L145" s="415"/>
    </row>
    <row r="146" spans="1:12" x14ac:dyDescent="0.25">
      <c r="A146" s="534"/>
      <c r="B146" s="535"/>
      <c r="C146" s="32">
        <v>2018</v>
      </c>
      <c r="D146" s="33"/>
      <c r="E146" s="34"/>
      <c r="F146" s="34"/>
      <c r="G146" s="214">
        <f t="shared" si="14"/>
        <v>0</v>
      </c>
      <c r="H146" s="37"/>
      <c r="I146" s="34"/>
      <c r="J146" s="34"/>
      <c r="K146" s="34"/>
      <c r="L146" s="38"/>
    </row>
    <row r="147" spans="1:12" x14ac:dyDescent="0.25">
      <c r="A147" s="534"/>
      <c r="B147" s="535"/>
      <c r="C147" s="32">
        <v>2019</v>
      </c>
      <c r="D147" s="33"/>
      <c r="E147" s="34"/>
      <c r="F147" s="34"/>
      <c r="G147" s="214">
        <f t="shared" si="14"/>
        <v>0</v>
      </c>
      <c r="H147" s="37"/>
      <c r="I147" s="34"/>
      <c r="J147" s="34"/>
      <c r="K147" s="34"/>
      <c r="L147" s="38"/>
    </row>
    <row r="148" spans="1:12" x14ac:dyDescent="0.25">
      <c r="A148" s="534"/>
      <c r="B148" s="535"/>
      <c r="C148" s="32">
        <v>2020</v>
      </c>
      <c r="D148" s="33"/>
      <c r="E148" s="34"/>
      <c r="F148" s="34"/>
      <c r="G148" s="214">
        <f t="shared" si="14"/>
        <v>0</v>
      </c>
      <c r="H148" s="37"/>
      <c r="I148" s="34"/>
      <c r="J148" s="34"/>
      <c r="K148" s="34"/>
      <c r="L148" s="38"/>
    </row>
    <row r="149" spans="1:12" ht="15.75" thickBot="1" x14ac:dyDescent="0.3">
      <c r="A149" s="536"/>
      <c r="B149" s="537"/>
      <c r="C149" s="50" t="s">
        <v>14</v>
      </c>
      <c r="D149" s="51">
        <f t="shared" ref="D149:L149" si="15">SUM(D142:D148)</f>
        <v>0</v>
      </c>
      <c r="E149" s="52">
        <f t="shared" si="15"/>
        <v>0</v>
      </c>
      <c r="F149" s="52">
        <f t="shared" si="15"/>
        <v>0</v>
      </c>
      <c r="G149" s="54">
        <f t="shared" si="15"/>
        <v>0</v>
      </c>
      <c r="H149" s="85">
        <f t="shared" si="15"/>
        <v>0</v>
      </c>
      <c r="I149" s="52">
        <f t="shared" si="15"/>
        <v>0</v>
      </c>
      <c r="J149" s="52">
        <f t="shared" si="15"/>
        <v>0</v>
      </c>
      <c r="K149" s="52">
        <f t="shared" si="15"/>
        <v>0</v>
      </c>
      <c r="L149" s="86">
        <f t="shared" si="15"/>
        <v>0</v>
      </c>
    </row>
    <row r="150" spans="1:12" x14ac:dyDescent="0.25">
      <c r="B150" s="10"/>
    </row>
    <row r="151" spans="1:12" x14ac:dyDescent="0.25">
      <c r="B151" s="10"/>
    </row>
    <row r="152" spans="1:12" ht="21" x14ac:dyDescent="0.35">
      <c r="A152" s="215" t="s">
        <v>99</v>
      </c>
      <c r="B152" s="68"/>
      <c r="C152" s="67"/>
      <c r="D152" s="69"/>
      <c r="E152" s="69"/>
      <c r="F152" s="69"/>
      <c r="G152" s="69"/>
      <c r="H152" s="69"/>
      <c r="I152" s="69"/>
      <c r="J152" s="69"/>
      <c r="K152" s="69"/>
      <c r="L152" s="69"/>
    </row>
    <row r="153" spans="1:12" ht="15.75" thickBot="1" x14ac:dyDescent="0.3">
      <c r="A153" s="91"/>
      <c r="B153" s="92"/>
    </row>
    <row r="154" spans="1:12" s="11" customFormat="1" ht="65.25" x14ac:dyDescent="0.3">
      <c r="A154" s="216" t="s">
        <v>100</v>
      </c>
      <c r="B154" s="217" t="s">
        <v>101</v>
      </c>
      <c r="C154" s="218" t="s">
        <v>102</v>
      </c>
      <c r="D154" s="219" t="s">
        <v>103</v>
      </c>
      <c r="E154" s="220" t="s">
        <v>104</v>
      </c>
      <c r="F154" s="220" t="s">
        <v>105</v>
      </c>
      <c r="G154" s="221" t="s">
        <v>106</v>
      </c>
    </row>
    <row r="155" spans="1:12" ht="15" customHeight="1" x14ac:dyDescent="0.25">
      <c r="A155" s="540" t="s">
        <v>122</v>
      </c>
      <c r="B155" s="541"/>
      <c r="C155" s="32">
        <v>2014</v>
      </c>
      <c r="D155" s="33"/>
      <c r="E155" s="34"/>
      <c r="F155" s="34"/>
      <c r="G155" s="38"/>
    </row>
    <row r="156" spans="1:12" x14ac:dyDescent="0.25">
      <c r="A156" s="540"/>
      <c r="B156" s="541"/>
      <c r="C156" s="32">
        <v>2015</v>
      </c>
      <c r="D156" s="33"/>
      <c r="E156" s="34"/>
      <c r="F156" s="34"/>
      <c r="G156" s="38"/>
    </row>
    <row r="157" spans="1:12" x14ac:dyDescent="0.25">
      <c r="A157" s="540"/>
      <c r="B157" s="541"/>
      <c r="C157" s="32">
        <v>2016</v>
      </c>
      <c r="D157" s="33"/>
      <c r="E157" s="34"/>
      <c r="F157" s="34"/>
      <c r="G157" s="38"/>
    </row>
    <row r="158" spans="1:12" x14ac:dyDescent="0.25">
      <c r="A158" s="540"/>
      <c r="B158" s="541"/>
      <c r="C158" s="32">
        <v>2017</v>
      </c>
      <c r="D158" s="389"/>
      <c r="E158" s="391"/>
      <c r="F158" s="391"/>
      <c r="G158" s="415"/>
    </row>
    <row r="159" spans="1:12" x14ac:dyDescent="0.25">
      <c r="A159" s="540"/>
      <c r="B159" s="541"/>
      <c r="C159" s="32">
        <v>2018</v>
      </c>
      <c r="D159" s="33"/>
      <c r="E159" s="34"/>
      <c r="F159" s="34"/>
      <c r="G159" s="38"/>
    </row>
    <row r="160" spans="1:12"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438">
        <v>2014</v>
      </c>
      <c r="D165" s="438">
        <v>2015</v>
      </c>
      <c r="E165" s="438">
        <v>2016</v>
      </c>
      <c r="F165" s="438">
        <v>2017</v>
      </c>
      <c r="G165" s="438">
        <v>2018</v>
      </c>
      <c r="H165" s="438">
        <v>2019</v>
      </c>
      <c r="I165" s="439">
        <v>2020</v>
      </c>
    </row>
    <row r="166" spans="1:9" ht="14.1" customHeight="1" x14ac:dyDescent="0.25">
      <c r="A166" s="229" t="s">
        <v>109</v>
      </c>
      <c r="B166" s="583" t="s">
        <v>407</v>
      </c>
      <c r="C166" s="230">
        <f>SUM(C167:C169)</f>
        <v>0</v>
      </c>
      <c r="D166" s="230">
        <f t="shared" ref="D166:I166" si="16">SUM(D167:D169)</f>
        <v>0</v>
      </c>
      <c r="E166" s="230">
        <f t="shared" si="16"/>
        <v>0</v>
      </c>
      <c r="F166" s="230">
        <f t="shared" si="16"/>
        <v>0</v>
      </c>
      <c r="G166" s="230">
        <f t="shared" si="16"/>
        <v>37692.350000000006</v>
      </c>
      <c r="H166" s="230">
        <f t="shared" si="16"/>
        <v>0</v>
      </c>
      <c r="I166" s="231">
        <f t="shared" si="16"/>
        <v>0</v>
      </c>
    </row>
    <row r="167" spans="1:9" ht="15.75" x14ac:dyDescent="0.25">
      <c r="A167" s="232" t="s">
        <v>111</v>
      </c>
      <c r="B167" s="584"/>
      <c r="C167" s="78"/>
      <c r="D167" s="78"/>
      <c r="E167" s="78"/>
      <c r="F167" s="420"/>
      <c r="G167" s="78">
        <v>5629.52</v>
      </c>
      <c r="H167" s="78"/>
      <c r="I167" s="233"/>
    </row>
    <row r="168" spans="1:9" ht="15.75" x14ac:dyDescent="0.25">
      <c r="A168" s="232" t="s">
        <v>112</v>
      </c>
      <c r="B168" s="584"/>
      <c r="C168" s="78"/>
      <c r="D168" s="78"/>
      <c r="E168" s="78"/>
      <c r="F168" s="420"/>
      <c r="G168" s="78"/>
      <c r="H168" s="78"/>
      <c r="I168" s="233"/>
    </row>
    <row r="169" spans="1:9" ht="15.75" x14ac:dyDescent="0.25">
      <c r="A169" s="232" t="s">
        <v>113</v>
      </c>
      <c r="B169" s="584"/>
      <c r="C169" s="78"/>
      <c r="D169" s="78"/>
      <c r="E169" s="78"/>
      <c r="F169" s="420"/>
      <c r="G169" s="78">
        <v>32062.83</v>
      </c>
      <c r="H169" s="78"/>
      <c r="I169" s="233"/>
    </row>
    <row r="170" spans="1:9" ht="31.5" x14ac:dyDescent="0.25">
      <c r="A170" s="229" t="s">
        <v>114</v>
      </c>
      <c r="B170" s="584"/>
      <c r="C170" s="78"/>
      <c r="D170" s="78"/>
      <c r="E170" s="78"/>
      <c r="F170" s="420"/>
      <c r="G170" s="78">
        <v>2223480.7599999998</v>
      </c>
      <c r="H170" s="78"/>
      <c r="I170" s="233"/>
    </row>
    <row r="171" spans="1:9" ht="16.5" thickBot="1" x14ac:dyDescent="0.3">
      <c r="A171" s="235" t="s">
        <v>115</v>
      </c>
      <c r="B171" s="585"/>
      <c r="C171" s="236">
        <f t="shared" ref="C171:I171" si="17">C166+C170</f>
        <v>0</v>
      </c>
      <c r="D171" s="236">
        <f t="shared" si="17"/>
        <v>0</v>
      </c>
      <c r="E171" s="236">
        <f t="shared" si="17"/>
        <v>0</v>
      </c>
      <c r="F171" s="236">
        <f t="shared" si="17"/>
        <v>0</v>
      </c>
      <c r="G171" s="236">
        <f t="shared" si="17"/>
        <v>2261173.11</v>
      </c>
      <c r="H171" s="236">
        <f t="shared" si="17"/>
        <v>0</v>
      </c>
      <c r="I171" s="86">
        <f t="shared" si="17"/>
        <v>0</v>
      </c>
    </row>
  </sheetData>
  <mergeCells count="50">
    <mergeCell ref="A142:B149"/>
    <mergeCell ref="A155:B162"/>
    <mergeCell ref="B166:B171"/>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43" workbookViewId="0">
      <selection activeCell="A20" sqref="A20"/>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c r="K1" s="91" t="s">
        <v>116</v>
      </c>
    </row>
    <row r="2" spans="1:17" s="2" customFormat="1" ht="15.75" x14ac:dyDescent="0.25"/>
    <row r="3" spans="1:17" s="2" customFormat="1" ht="15.75" x14ac:dyDescent="0.25">
      <c r="A3" s="3" t="s">
        <v>1</v>
      </c>
    </row>
    <row r="4" spans="1:17" s="2" customFormat="1" ht="15.75" x14ac:dyDescent="0.25">
      <c r="A4" s="4" t="s">
        <v>117</v>
      </c>
    </row>
    <row r="5" spans="1:17" s="2" customFormat="1" ht="15.75" x14ac:dyDescent="0.25">
      <c r="A5" s="239" t="s">
        <v>118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119</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19</v>
      </c>
      <c r="E16" s="34"/>
      <c r="F16" s="34"/>
      <c r="G16" s="35">
        <v>15</v>
      </c>
      <c r="H16" s="36">
        <f t="shared" si="0"/>
        <v>34</v>
      </c>
      <c r="I16" s="37">
        <v>10</v>
      </c>
      <c r="J16" s="34">
        <v>1</v>
      </c>
      <c r="K16" s="34">
        <v>7</v>
      </c>
      <c r="L16" s="34"/>
      <c r="M16" s="34"/>
      <c r="N16" s="34">
        <v>10</v>
      </c>
      <c r="O16" s="38">
        <v>6</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19</v>
      </c>
      <c r="E19" s="52">
        <f>SUM(E12:E18)</f>
        <v>0</v>
      </c>
      <c r="F19" s="52">
        <f>SUM(F12:F18)</f>
        <v>0</v>
      </c>
      <c r="G19" s="52">
        <f>SUM(G12:G18)</f>
        <v>15</v>
      </c>
      <c r="H19" s="54">
        <f>SUM(D19:G19)</f>
        <v>34</v>
      </c>
      <c r="I19" s="85">
        <f t="shared" ref="I19:O19" si="1">SUM(I12:I18)</f>
        <v>10</v>
      </c>
      <c r="J19" s="85">
        <f t="shared" si="1"/>
        <v>1</v>
      </c>
      <c r="K19" s="52">
        <f t="shared" si="1"/>
        <v>7</v>
      </c>
      <c r="L19" s="52">
        <f t="shared" si="1"/>
        <v>0</v>
      </c>
      <c r="M19" s="52">
        <f t="shared" si="1"/>
        <v>0</v>
      </c>
      <c r="N19" s="52">
        <f t="shared" si="1"/>
        <v>10</v>
      </c>
      <c r="O19" s="86">
        <f t="shared" si="1"/>
        <v>6</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61" t="s">
        <v>23</v>
      </c>
      <c r="C22" s="533"/>
      <c r="D22" s="62" t="s">
        <v>10</v>
      </c>
      <c r="E22" s="63" t="s">
        <v>11</v>
      </c>
      <c r="F22" s="63" t="s">
        <v>12</v>
      </c>
      <c r="G22" s="64" t="s">
        <v>13</v>
      </c>
      <c r="H22" s="25" t="s">
        <v>14</v>
      </c>
    </row>
    <row r="23" spans="1:17" ht="15" customHeight="1" x14ac:dyDescent="0.25">
      <c r="A23" s="534" t="s">
        <v>35</v>
      </c>
      <c r="B23" s="535"/>
      <c r="C23" s="32">
        <v>2014</v>
      </c>
      <c r="D23" s="33"/>
      <c r="E23" s="34"/>
      <c r="F23" s="34"/>
      <c r="G23" s="35"/>
      <c r="H23" s="36">
        <f>SUM(D23:G23)</f>
        <v>0</v>
      </c>
    </row>
    <row r="24" spans="1:17" x14ac:dyDescent="0.25">
      <c r="A24" s="534"/>
      <c r="B24" s="535"/>
      <c r="C24" s="32">
        <v>2015</v>
      </c>
      <c r="D24" s="33"/>
      <c r="E24" s="34"/>
      <c r="F24" s="34"/>
      <c r="G24" s="35"/>
      <c r="H24" s="36">
        <f t="shared" ref="H24:H29" si="2">SUM(D24:G24)</f>
        <v>0</v>
      </c>
    </row>
    <row r="25" spans="1:17" x14ac:dyDescent="0.25">
      <c r="A25" s="534"/>
      <c r="B25" s="535"/>
      <c r="C25" s="32">
        <v>2016</v>
      </c>
      <c r="D25" s="33"/>
      <c r="E25" s="34"/>
      <c r="F25" s="34"/>
      <c r="G25" s="35"/>
      <c r="H25" s="36">
        <f t="shared" si="2"/>
        <v>0</v>
      </c>
    </row>
    <row r="26" spans="1:17" x14ac:dyDescent="0.25">
      <c r="A26" s="534"/>
      <c r="B26" s="535"/>
      <c r="C26" s="32">
        <v>2017</v>
      </c>
      <c r="D26" s="39"/>
      <c r="E26" s="40"/>
      <c r="F26" s="40"/>
      <c r="G26" s="41"/>
      <c r="H26" s="36">
        <f t="shared" si="2"/>
        <v>0</v>
      </c>
    </row>
    <row r="27" spans="1:17" x14ac:dyDescent="0.25">
      <c r="A27" s="534"/>
      <c r="B27" s="535"/>
      <c r="C27" s="32">
        <v>2018</v>
      </c>
      <c r="D27" s="241">
        <v>1968</v>
      </c>
      <c r="E27" s="34"/>
      <c r="F27" s="34"/>
      <c r="G27" s="35">
        <v>5300</v>
      </c>
      <c r="H27" s="36">
        <f t="shared" si="2"/>
        <v>7268</v>
      </c>
    </row>
    <row r="28" spans="1:17" x14ac:dyDescent="0.25">
      <c r="A28" s="534"/>
      <c r="B28" s="535"/>
      <c r="C28" s="32">
        <v>2019</v>
      </c>
      <c r="D28" s="33"/>
      <c r="E28" s="34"/>
      <c r="F28" s="34"/>
      <c r="G28" s="35"/>
      <c r="H28" s="36">
        <f t="shared" si="2"/>
        <v>0</v>
      </c>
    </row>
    <row r="29" spans="1:17" x14ac:dyDescent="0.25">
      <c r="A29" s="534"/>
      <c r="B29" s="535"/>
      <c r="C29" s="32">
        <v>2020</v>
      </c>
      <c r="D29" s="33"/>
      <c r="E29" s="34"/>
      <c r="F29" s="34"/>
      <c r="G29" s="35"/>
      <c r="H29" s="36">
        <f t="shared" si="2"/>
        <v>0</v>
      </c>
    </row>
    <row r="30" spans="1:17" ht="24" customHeight="1" thickBot="1" x14ac:dyDescent="0.3">
      <c r="A30" s="536"/>
      <c r="B30" s="537"/>
      <c r="C30" s="50" t="s">
        <v>14</v>
      </c>
      <c r="D30" s="51">
        <f>SUM(D23:D29)</f>
        <v>1968</v>
      </c>
      <c r="E30" s="52">
        <f>SUM(E23:E29)</f>
        <v>0</v>
      </c>
      <c r="F30" s="52">
        <f>SUM(F23:F29)</f>
        <v>0</v>
      </c>
      <c r="G30" s="52">
        <f>SUM(G23:G29)</f>
        <v>5300</v>
      </c>
      <c r="H30" s="54">
        <f>SUM(H23:H29)</f>
        <v>7268</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5</v>
      </c>
      <c r="E40" s="37">
        <v>2</v>
      </c>
      <c r="F40" s="34"/>
      <c r="G40" s="34">
        <v>3</v>
      </c>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5</v>
      </c>
      <c r="E43" s="85">
        <f t="shared" ref="E43:J43" si="3">SUM(E36:E42)</f>
        <v>2</v>
      </c>
      <c r="F43" s="52">
        <f t="shared" si="3"/>
        <v>0</v>
      </c>
      <c r="G43" s="52">
        <f t="shared" si="3"/>
        <v>3</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120</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95</v>
      </c>
      <c r="E54" s="37"/>
      <c r="F54" s="34"/>
      <c r="G54" s="34"/>
      <c r="H54" s="34"/>
      <c r="I54" s="34"/>
      <c r="J54" s="34"/>
      <c r="K54" s="38">
        <v>95</v>
      </c>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95</v>
      </c>
      <c r="E57" s="85">
        <f t="shared" si="4"/>
        <v>0</v>
      </c>
      <c r="F57" s="52">
        <f t="shared" si="4"/>
        <v>0</v>
      </c>
      <c r="G57" s="52">
        <f t="shared" si="4"/>
        <v>0</v>
      </c>
      <c r="H57" s="52">
        <f t="shared" si="4"/>
        <v>0</v>
      </c>
      <c r="I57" s="52">
        <f t="shared" si="4"/>
        <v>0</v>
      </c>
      <c r="J57" s="52">
        <f>SUM(J50:J56)</f>
        <v>0</v>
      </c>
      <c r="K57" s="86">
        <f>SUM(K50:K56)</f>
        <v>95</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30"/>
      <c r="B63" s="31"/>
      <c r="C63" s="32">
        <v>2014</v>
      </c>
      <c r="D63" s="33"/>
      <c r="E63" s="34"/>
      <c r="F63" s="122"/>
      <c r="G63" s="123"/>
      <c r="H63" s="123"/>
      <c r="I63" s="123"/>
      <c r="J63" s="123"/>
      <c r="K63" s="123"/>
      <c r="L63" s="124"/>
      <c r="M63" s="11"/>
    </row>
    <row r="64" spans="1:16" x14ac:dyDescent="0.25">
      <c r="A64" s="30"/>
      <c r="B64" s="31"/>
      <c r="C64" s="32">
        <v>2015</v>
      </c>
      <c r="D64" s="33"/>
      <c r="E64" s="34"/>
      <c r="F64" s="122"/>
      <c r="G64" s="123"/>
      <c r="H64" s="123"/>
      <c r="I64" s="123"/>
      <c r="J64" s="123"/>
      <c r="K64" s="123"/>
      <c r="L64" s="124"/>
      <c r="M64" s="11"/>
    </row>
    <row r="65" spans="1:15" x14ac:dyDescent="0.25">
      <c r="A65" s="30"/>
      <c r="B65" s="31"/>
      <c r="C65" s="32">
        <v>2016</v>
      </c>
      <c r="D65" s="33"/>
      <c r="E65" s="34"/>
      <c r="F65" s="122"/>
      <c r="G65" s="123"/>
      <c r="H65" s="123"/>
      <c r="I65" s="123"/>
      <c r="J65" s="123"/>
      <c r="K65" s="123"/>
      <c r="L65" s="124"/>
      <c r="M65" s="11"/>
    </row>
    <row r="66" spans="1:15" x14ac:dyDescent="0.25">
      <c r="A66" s="30"/>
      <c r="B66" s="31"/>
      <c r="C66" s="32">
        <v>2017</v>
      </c>
      <c r="D66" s="39"/>
      <c r="E66" s="40"/>
      <c r="F66" s="125"/>
      <c r="G66" s="126"/>
      <c r="H66" s="126"/>
      <c r="I66" s="126"/>
      <c r="J66" s="126"/>
      <c r="K66" s="126"/>
      <c r="L66" s="127"/>
      <c r="M66" s="11"/>
    </row>
    <row r="67" spans="1:15" ht="102" x14ac:dyDescent="0.25">
      <c r="B67" s="30" t="s">
        <v>121</v>
      </c>
      <c r="C67" s="32">
        <v>2018</v>
      </c>
      <c r="D67" s="33">
        <v>1</v>
      </c>
      <c r="E67" s="34">
        <v>6</v>
      </c>
      <c r="F67" s="122"/>
      <c r="G67" s="123"/>
      <c r="H67" s="123"/>
      <c r="I67" s="123"/>
      <c r="J67" s="123"/>
      <c r="K67" s="123"/>
      <c r="L67" s="124">
        <v>1</v>
      </c>
      <c r="M67" s="11"/>
    </row>
    <row r="68" spans="1:15" x14ac:dyDescent="0.25">
      <c r="A68" s="30"/>
      <c r="B68" s="31"/>
      <c r="C68" s="32">
        <v>2019</v>
      </c>
      <c r="D68" s="33"/>
      <c r="E68" s="34"/>
      <c r="F68" s="122"/>
      <c r="G68" s="123"/>
      <c r="H68" s="123"/>
      <c r="I68" s="123"/>
      <c r="J68" s="123"/>
      <c r="K68" s="123"/>
      <c r="L68" s="124"/>
      <c r="M68" s="11"/>
    </row>
    <row r="69" spans="1:15" x14ac:dyDescent="0.25">
      <c r="A69" s="30"/>
      <c r="B69" s="31"/>
      <c r="C69" s="32">
        <v>2020</v>
      </c>
      <c r="D69" s="33"/>
      <c r="E69" s="34"/>
      <c r="F69" s="122"/>
      <c r="G69" s="123"/>
      <c r="H69" s="123"/>
      <c r="I69" s="123"/>
      <c r="J69" s="123"/>
      <c r="K69" s="123"/>
      <c r="L69" s="124"/>
      <c r="M69" s="11"/>
    </row>
    <row r="70" spans="1:15" ht="33" customHeight="1" thickBot="1" x14ac:dyDescent="0.3">
      <c r="A70" s="48"/>
      <c r="B70" s="49"/>
      <c r="C70" s="50" t="s">
        <v>14</v>
      </c>
      <c r="D70" s="51">
        <f t="shared" ref="D70:K70" si="5">SUM(D63:D69)</f>
        <v>1</v>
      </c>
      <c r="E70" s="52">
        <f t="shared" si="5"/>
        <v>6</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122</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2</v>
      </c>
      <c r="E78" s="122">
        <v>1</v>
      </c>
      <c r="F78" s="123"/>
      <c r="G78" s="123"/>
      <c r="H78" s="123"/>
      <c r="I78" s="123"/>
      <c r="J78" s="123">
        <v>1</v>
      </c>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2</v>
      </c>
      <c r="E81" s="128">
        <f t="shared" si="6"/>
        <v>1</v>
      </c>
      <c r="F81" s="129">
        <f t="shared" si="6"/>
        <v>0</v>
      </c>
      <c r="G81" s="129">
        <f t="shared" si="6"/>
        <v>0</v>
      </c>
      <c r="H81" s="129">
        <f t="shared" si="6"/>
        <v>0</v>
      </c>
      <c r="I81" s="129">
        <f t="shared" si="6"/>
        <v>0</v>
      </c>
      <c r="J81" s="129">
        <f t="shared" si="6"/>
        <v>1</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123</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v>3</v>
      </c>
      <c r="E89" s="122">
        <v>1</v>
      </c>
      <c r="F89" s="123">
        <v>1</v>
      </c>
      <c r="G89" s="123">
        <v>1</v>
      </c>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3</v>
      </c>
      <c r="E92" s="128">
        <f t="shared" si="7"/>
        <v>1</v>
      </c>
      <c r="F92" s="129">
        <f t="shared" si="7"/>
        <v>1</v>
      </c>
      <c r="G92" s="129">
        <f t="shared" si="7"/>
        <v>1</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138" t="s">
        <v>6</v>
      </c>
      <c r="D94" s="139" t="s">
        <v>51</v>
      </c>
      <c r="E94" s="140"/>
      <c r="F94" s="140"/>
      <c r="G94" s="141"/>
      <c r="H94" s="11"/>
      <c r="I94" s="11"/>
      <c r="J94" s="11"/>
      <c r="K94" s="11"/>
      <c r="O94" s="9"/>
      <c r="P94" s="9"/>
    </row>
    <row r="95" spans="1:17" s="9" customFormat="1" ht="64.5" x14ac:dyDescent="0.25">
      <c r="A95" s="559"/>
      <c r="B95" s="561"/>
      <c r="C95" s="142"/>
      <c r="D95" s="115" t="s">
        <v>52</v>
      </c>
      <c r="E95" s="116" t="s">
        <v>53</v>
      </c>
      <c r="F95" s="116" t="s">
        <v>54</v>
      </c>
      <c r="G95" s="143" t="s">
        <v>14</v>
      </c>
      <c r="H95" s="11"/>
      <c r="I95" s="11"/>
      <c r="J95" s="11"/>
      <c r="K95" s="11"/>
      <c r="L95" s="11"/>
      <c r="M95" s="11"/>
      <c r="N95" s="11"/>
    </row>
    <row r="96" spans="1:17" s="11" customFormat="1" ht="26.25" customHeight="1" x14ac:dyDescent="0.25">
      <c r="A96" s="534" t="s">
        <v>124</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106</v>
      </c>
      <c r="E99" s="34">
        <v>120</v>
      </c>
      <c r="F99" s="34">
        <v>275</v>
      </c>
      <c r="G99" s="144">
        <f t="shared" si="8"/>
        <v>501</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106</v>
      </c>
      <c r="E102" s="52">
        <f>SUM(E95:E101)</f>
        <v>120</v>
      </c>
      <c r="F102" s="52">
        <f>SUM(F95:F101)</f>
        <v>275</v>
      </c>
      <c r="G102" s="145">
        <f>SUM(G95:G101)</f>
        <v>501</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181"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47</v>
      </c>
      <c r="E135" s="34">
        <v>7</v>
      </c>
      <c r="F135" s="34"/>
      <c r="G135" s="203">
        <f t="shared" si="12"/>
        <v>54</v>
      </c>
      <c r="H135" s="101">
        <v>64</v>
      </c>
      <c r="I135" s="37">
        <v>23</v>
      </c>
      <c r="J135" s="34">
        <v>3</v>
      </c>
      <c r="K135" s="34">
        <v>10</v>
      </c>
      <c r="L135" s="34"/>
      <c r="M135" s="34"/>
      <c r="N135" s="34">
        <v>18</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47</v>
      </c>
      <c r="E138" s="52">
        <f>SUM(E131:E137)</f>
        <v>7</v>
      </c>
      <c r="F138" s="52">
        <f>SUM(F131:F137)</f>
        <v>0</v>
      </c>
      <c r="G138" s="205">
        <f t="shared" ref="G138:O138" si="13">SUM(G131:G137)</f>
        <v>54</v>
      </c>
      <c r="H138" s="206">
        <f t="shared" si="13"/>
        <v>64</v>
      </c>
      <c r="I138" s="85">
        <f t="shared" si="13"/>
        <v>23</v>
      </c>
      <c r="J138" s="52">
        <f t="shared" si="13"/>
        <v>3</v>
      </c>
      <c r="K138" s="52">
        <f t="shared" si="13"/>
        <v>10</v>
      </c>
      <c r="L138" s="52">
        <f t="shared" si="13"/>
        <v>0</v>
      </c>
      <c r="M138" s="52">
        <f t="shared" si="13"/>
        <v>0</v>
      </c>
      <c r="N138" s="52">
        <f t="shared" si="13"/>
        <v>18</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125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993</v>
      </c>
      <c r="E146" s="34">
        <v>306</v>
      </c>
      <c r="F146" s="34"/>
      <c r="G146" s="214">
        <f t="shared" si="14"/>
        <v>1299</v>
      </c>
      <c r="H146" s="37">
        <v>21</v>
      </c>
      <c r="I146" s="34">
        <v>77</v>
      </c>
      <c r="J146" s="34">
        <v>20</v>
      </c>
      <c r="K146" s="34">
        <v>476</v>
      </c>
      <c r="L146" s="38">
        <v>705</v>
      </c>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993</v>
      </c>
      <c r="E149" s="52">
        <f t="shared" si="15"/>
        <v>306</v>
      </c>
      <c r="F149" s="52">
        <f t="shared" si="15"/>
        <v>0</v>
      </c>
      <c r="G149" s="54">
        <f t="shared" si="15"/>
        <v>1299</v>
      </c>
      <c r="H149" s="85">
        <f t="shared" si="15"/>
        <v>21</v>
      </c>
      <c r="I149" s="52">
        <f t="shared" si="15"/>
        <v>77</v>
      </c>
      <c r="J149" s="52">
        <f t="shared" si="15"/>
        <v>20</v>
      </c>
      <c r="K149" s="52">
        <f t="shared" si="15"/>
        <v>476</v>
      </c>
      <c r="L149" s="86">
        <f t="shared" si="15"/>
        <v>705</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230">
        <f t="shared" si="16"/>
        <v>1235707.1599999999</v>
      </c>
      <c r="H166" s="230">
        <f t="shared" si="16"/>
        <v>0</v>
      </c>
      <c r="I166" s="231">
        <f t="shared" si="16"/>
        <v>0</v>
      </c>
    </row>
    <row r="167" spans="1:9" ht="15.75" x14ac:dyDescent="0.25">
      <c r="A167" s="232" t="s">
        <v>111</v>
      </c>
      <c r="B167" s="243"/>
      <c r="C167" s="78"/>
      <c r="D167" s="78"/>
      <c r="E167" s="78"/>
      <c r="F167" s="82"/>
      <c r="G167" s="78">
        <v>672907.6</v>
      </c>
      <c r="H167" s="78"/>
      <c r="I167" s="233"/>
    </row>
    <row r="168" spans="1:9" ht="15.75" x14ac:dyDescent="0.25">
      <c r="A168" s="232" t="s">
        <v>112</v>
      </c>
      <c r="B168" s="243"/>
      <c r="C168" s="78"/>
      <c r="D168" s="78"/>
      <c r="E168" s="78"/>
      <c r="F168" s="82"/>
      <c r="G168" s="78">
        <v>60252.5</v>
      </c>
      <c r="H168" s="78"/>
      <c r="I168" s="233"/>
    </row>
    <row r="169" spans="1:9" ht="15.75" x14ac:dyDescent="0.25">
      <c r="A169" s="232" t="s">
        <v>113</v>
      </c>
      <c r="B169" s="243"/>
      <c r="C169" s="78"/>
      <c r="D169" s="78"/>
      <c r="E169" s="78"/>
      <c r="F169" s="82"/>
      <c r="G169" s="78">
        <v>502547.06</v>
      </c>
      <c r="H169" s="78"/>
      <c r="I169" s="233"/>
    </row>
    <row r="170" spans="1:9" ht="31.5" x14ac:dyDescent="0.25">
      <c r="A170" s="234" t="s">
        <v>114</v>
      </c>
      <c r="B170" s="243"/>
      <c r="C170" s="78"/>
      <c r="D170" s="78"/>
      <c r="E170" s="78"/>
      <c r="F170" s="82"/>
      <c r="G170" s="78">
        <v>357874.67</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1593581.8299999998</v>
      </c>
      <c r="H171" s="236">
        <f t="shared" si="17"/>
        <v>0</v>
      </c>
      <c r="I171" s="86">
        <f t="shared" si="17"/>
        <v>0</v>
      </c>
    </row>
  </sheetData>
  <mergeCells count="48">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50:B57"/>
    <mergeCell ref="A61:A62"/>
    <mergeCell ref="B61:B62"/>
    <mergeCell ref="C61:C62"/>
    <mergeCell ref="A72:A73"/>
    <mergeCell ref="B72:B73"/>
    <mergeCell ref="C72:C73"/>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51" workbookViewId="0">
      <selection activeCell="A22" sqref="A22"/>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126</v>
      </c>
    </row>
    <row r="5" spans="1:17" s="2" customFormat="1" ht="15.75" x14ac:dyDescent="0.25">
      <c r="A5" s="239" t="s">
        <v>127</v>
      </c>
    </row>
    <row r="6" spans="1:17" s="2" customFormat="1" ht="15.75" x14ac:dyDescent="0.25"/>
    <row r="7" spans="1:17" ht="0.75" customHeight="1"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128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368</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 si="0">SUM(D13:G13)</f>
        <v>0</v>
      </c>
      <c r="I13" s="37"/>
      <c r="J13" s="34"/>
      <c r="K13" s="34"/>
      <c r="L13" s="34"/>
      <c r="M13" s="34"/>
      <c r="N13" s="34"/>
      <c r="O13" s="38"/>
      <c r="P13" s="11"/>
      <c r="Q13" s="11"/>
    </row>
    <row r="14" spans="1:17" x14ac:dyDescent="0.25">
      <c r="A14" s="534"/>
      <c r="B14" s="535"/>
      <c r="C14" s="32">
        <v>2016</v>
      </c>
      <c r="D14" s="33"/>
      <c r="E14" s="34"/>
      <c r="F14" s="34"/>
      <c r="G14" s="35"/>
      <c r="H14" s="36"/>
      <c r="I14" s="37"/>
      <c r="J14" s="34"/>
      <c r="K14" s="34"/>
      <c r="L14" s="34"/>
      <c r="M14" s="34"/>
      <c r="N14" s="34"/>
      <c r="O14" s="38"/>
      <c r="P14" s="11"/>
      <c r="Q14" s="11"/>
    </row>
    <row r="15" spans="1:17" x14ac:dyDescent="0.25">
      <c r="A15" s="534"/>
      <c r="B15" s="535"/>
      <c r="C15" s="32">
        <v>2017</v>
      </c>
      <c r="D15" s="39"/>
      <c r="E15" s="40"/>
      <c r="F15" s="40"/>
      <c r="G15" s="41"/>
      <c r="H15" s="36"/>
      <c r="I15" s="42"/>
      <c r="J15" s="40"/>
      <c r="K15" s="40"/>
      <c r="L15" s="40"/>
      <c r="M15" s="40"/>
      <c r="N15" s="40"/>
      <c r="O15" s="43"/>
      <c r="P15" s="11"/>
      <c r="Q15" s="11"/>
    </row>
    <row r="16" spans="1:17" x14ac:dyDescent="0.25">
      <c r="A16" s="534"/>
      <c r="B16" s="535"/>
      <c r="C16" s="32">
        <v>2018</v>
      </c>
      <c r="D16" s="33">
        <v>39</v>
      </c>
      <c r="E16" s="34"/>
      <c r="F16" s="34"/>
      <c r="G16" s="35">
        <v>10</v>
      </c>
      <c r="H16" s="36">
        <f>D16+E16+G16</f>
        <v>49</v>
      </c>
      <c r="I16" s="37">
        <v>19</v>
      </c>
      <c r="J16" s="34">
        <v>2</v>
      </c>
      <c r="K16" s="34">
        <v>12</v>
      </c>
      <c r="L16" s="34">
        <v>1</v>
      </c>
      <c r="M16" s="34"/>
      <c r="N16" s="34">
        <v>15</v>
      </c>
      <c r="O16" s="38"/>
      <c r="P16" s="11"/>
      <c r="Q16" s="11"/>
    </row>
    <row r="17" spans="1:17" x14ac:dyDescent="0.25">
      <c r="A17" s="534"/>
      <c r="B17" s="535"/>
      <c r="C17" s="32">
        <v>2019</v>
      </c>
      <c r="D17" s="33"/>
      <c r="E17" s="34"/>
      <c r="F17" s="34"/>
      <c r="G17" s="35"/>
      <c r="H17" s="36"/>
      <c r="I17" s="37"/>
      <c r="J17" s="34"/>
      <c r="K17" s="34"/>
      <c r="L17" s="34"/>
      <c r="M17" s="34"/>
      <c r="N17" s="34"/>
      <c r="O17" s="38"/>
      <c r="P17" s="11"/>
      <c r="Q17" s="11"/>
    </row>
    <row r="18" spans="1:17" x14ac:dyDescent="0.25">
      <c r="A18" s="534"/>
      <c r="B18" s="535"/>
      <c r="C18" s="32">
        <v>2020</v>
      </c>
      <c r="D18" s="33"/>
      <c r="E18" s="34"/>
      <c r="F18" s="34"/>
      <c r="G18" s="35"/>
      <c r="H18" s="36"/>
      <c r="I18" s="37"/>
      <c r="J18" s="34"/>
      <c r="K18" s="34"/>
      <c r="L18" s="34"/>
      <c r="M18" s="34"/>
      <c r="N18" s="34"/>
      <c r="O18" s="38"/>
      <c r="P18" s="11"/>
      <c r="Q18" s="11"/>
    </row>
    <row r="19" spans="1:17" ht="16.5" customHeight="1" thickBot="1" x14ac:dyDescent="0.3">
      <c r="A19" s="536"/>
      <c r="B19" s="537"/>
      <c r="C19" s="50" t="s">
        <v>14</v>
      </c>
      <c r="D19" s="51">
        <v>39</v>
      </c>
      <c r="E19" s="52"/>
      <c r="F19" s="52"/>
      <c r="G19" s="53">
        <v>10</v>
      </c>
      <c r="H19" s="54">
        <f>D19+E19+G19</f>
        <v>49</v>
      </c>
      <c r="I19" s="85">
        <v>19</v>
      </c>
      <c r="J19" s="52">
        <v>2</v>
      </c>
      <c r="K19" s="52">
        <v>12</v>
      </c>
      <c r="L19" s="52">
        <v>1</v>
      </c>
      <c r="M19" s="52"/>
      <c r="N19" s="52">
        <v>15</v>
      </c>
      <c r="O19" s="86"/>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500" t="s">
        <v>23</v>
      </c>
      <c r="C22" s="533"/>
      <c r="D22" s="62" t="s">
        <v>10</v>
      </c>
      <c r="E22" s="63" t="s">
        <v>11</v>
      </c>
      <c r="F22" s="63" t="s">
        <v>12</v>
      </c>
      <c r="G22" s="64" t="s">
        <v>13</v>
      </c>
      <c r="H22" s="25" t="s">
        <v>14</v>
      </c>
    </row>
    <row r="23" spans="1:17" ht="15" customHeight="1" x14ac:dyDescent="0.25">
      <c r="A23" s="534" t="s">
        <v>129</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2278</v>
      </c>
      <c r="E27" s="34"/>
      <c r="F27" s="34"/>
      <c r="G27" s="35"/>
      <c r="H27" s="36">
        <f t="shared" si="1"/>
        <v>2278</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18" customHeight="1" thickBot="1" x14ac:dyDescent="0.3">
      <c r="A30" s="536"/>
      <c r="B30" s="537"/>
      <c r="C30" s="50" t="s">
        <v>14</v>
      </c>
      <c r="D30" s="51">
        <f>SUM(D23:D29)</f>
        <v>2278</v>
      </c>
      <c r="E30" s="52">
        <f>SUM(E23:E29)</f>
        <v>0</v>
      </c>
      <c r="F30" s="52">
        <f>SUM(F23:F29)</f>
        <v>0</v>
      </c>
      <c r="G30" s="52">
        <f>SUM(G23:G29)</f>
        <v>0</v>
      </c>
      <c r="H30" s="54">
        <f t="shared" ref="H30" si="2">SUM(D30:F30)</f>
        <v>2278</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130</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4</v>
      </c>
      <c r="E40" s="37">
        <v>4</v>
      </c>
      <c r="F40" s="34"/>
      <c r="G40" s="34"/>
      <c r="H40" s="34"/>
      <c r="I40" s="34"/>
      <c r="J40" s="34"/>
      <c r="K40" s="38"/>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15" customHeight="1" thickBot="1" x14ac:dyDescent="0.3">
      <c r="A43" s="542"/>
      <c r="B43" s="543"/>
      <c r="C43" s="50" t="s">
        <v>14</v>
      </c>
      <c r="D43" s="84">
        <f>SUM(D36:D42)</f>
        <v>4</v>
      </c>
      <c r="E43" s="85">
        <f t="shared" ref="E43:J43" si="3">SUM(E36:E42)</f>
        <v>4</v>
      </c>
      <c r="F43" s="52">
        <f t="shared" si="3"/>
        <v>0</v>
      </c>
      <c r="G43" s="52">
        <f t="shared" si="3"/>
        <v>0</v>
      </c>
      <c r="H43" s="52">
        <f t="shared" si="3"/>
        <v>0</v>
      </c>
      <c r="I43" s="52">
        <f t="shared" si="3"/>
        <v>0</v>
      </c>
      <c r="J43" s="52">
        <f t="shared" si="3"/>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20.25"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131</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11</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15.75" customHeight="1" thickBot="1" x14ac:dyDescent="0.3">
      <c r="A70" s="536"/>
      <c r="B70" s="537"/>
      <c r="C70" s="50" t="s">
        <v>14</v>
      </c>
      <c r="D70" s="51">
        <f t="shared" ref="D70:K70" si="5">SUM(D63:D69)</f>
        <v>1</v>
      </c>
      <c r="E70" s="52">
        <f t="shared" si="5"/>
        <v>11</v>
      </c>
      <c r="F70" s="128">
        <f t="shared" si="5"/>
        <v>0</v>
      </c>
      <c r="G70" s="129">
        <f t="shared" si="5"/>
        <v>0</v>
      </c>
      <c r="H70" s="129">
        <f t="shared" si="5"/>
        <v>0</v>
      </c>
      <c r="I70" s="129">
        <f t="shared" si="5"/>
        <v>0</v>
      </c>
      <c r="J70" s="129">
        <f t="shared" si="5"/>
        <v>0</v>
      </c>
      <c r="K70" s="129">
        <f t="shared" si="5"/>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122</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7</v>
      </c>
      <c r="E78" s="122">
        <v>5</v>
      </c>
      <c r="F78" s="123"/>
      <c r="G78" s="123">
        <v>1</v>
      </c>
      <c r="H78" s="123"/>
      <c r="I78" s="123"/>
      <c r="J78" s="123">
        <v>1</v>
      </c>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22.5" customHeight="1" thickBot="1" x14ac:dyDescent="0.3">
      <c r="A81" s="536"/>
      <c r="B81" s="537"/>
      <c r="C81" s="50" t="s">
        <v>14</v>
      </c>
      <c r="D81" s="52">
        <f t="shared" ref="D81:J81" si="6">SUM(D74:D80)</f>
        <v>7</v>
      </c>
      <c r="E81" s="128">
        <f t="shared" si="6"/>
        <v>5</v>
      </c>
      <c r="F81" s="129">
        <f t="shared" si="6"/>
        <v>0</v>
      </c>
      <c r="G81" s="129">
        <f t="shared" si="6"/>
        <v>1</v>
      </c>
      <c r="H81" s="129">
        <f t="shared" si="6"/>
        <v>0</v>
      </c>
      <c r="I81" s="129">
        <f t="shared" si="6"/>
        <v>0</v>
      </c>
      <c r="J81" s="129">
        <f t="shared" si="6"/>
        <v>1</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132</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v>4</v>
      </c>
      <c r="E89" s="122">
        <v>1</v>
      </c>
      <c r="F89" s="123"/>
      <c r="G89" s="123"/>
      <c r="H89" s="123"/>
      <c r="I89" s="123"/>
      <c r="J89" s="123">
        <v>3</v>
      </c>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4</v>
      </c>
      <c r="E92" s="128">
        <f t="shared" si="7"/>
        <v>1</v>
      </c>
      <c r="F92" s="129">
        <f t="shared" si="7"/>
        <v>0</v>
      </c>
      <c r="G92" s="129">
        <f t="shared" si="7"/>
        <v>0</v>
      </c>
      <c r="H92" s="129">
        <f t="shared" si="7"/>
        <v>0</v>
      </c>
      <c r="I92" s="129">
        <f t="shared" si="7"/>
        <v>0</v>
      </c>
      <c r="J92" s="129">
        <f t="shared" si="7"/>
        <v>3</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498" t="s">
        <v>6</v>
      </c>
      <c r="D94" s="139" t="s">
        <v>51</v>
      </c>
      <c r="E94" s="140"/>
      <c r="F94" s="140"/>
      <c r="G94" s="141"/>
      <c r="H94" s="11"/>
      <c r="I94" s="11"/>
      <c r="J94" s="11"/>
      <c r="K94" s="11"/>
      <c r="O94" s="9"/>
      <c r="P94" s="9"/>
    </row>
    <row r="95" spans="1:17" s="9" customFormat="1" ht="64.5" x14ac:dyDescent="0.25">
      <c r="A95" s="559"/>
      <c r="B95" s="561"/>
      <c r="C95" s="499"/>
      <c r="D95" s="115" t="s">
        <v>52</v>
      </c>
      <c r="E95" s="116" t="s">
        <v>53</v>
      </c>
      <c r="F95" s="116" t="s">
        <v>54</v>
      </c>
      <c r="G95" s="143" t="s">
        <v>14</v>
      </c>
      <c r="H95" s="11"/>
      <c r="I95" s="11"/>
      <c r="J95" s="11"/>
      <c r="K95" s="11"/>
      <c r="L95" s="11"/>
      <c r="M95" s="11"/>
      <c r="N95" s="11"/>
    </row>
    <row r="96" spans="1:17" s="11" customFormat="1" ht="26.25" customHeight="1" x14ac:dyDescent="0.25">
      <c r="A96" s="534" t="s">
        <v>35</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88</v>
      </c>
      <c r="E99" s="34">
        <v>649</v>
      </c>
      <c r="F99" s="34">
        <v>127</v>
      </c>
      <c r="G99" s="144">
        <f t="shared" si="8"/>
        <v>864</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88</v>
      </c>
      <c r="E102" s="52">
        <f>SUM(E95:E101)</f>
        <v>649</v>
      </c>
      <c r="F102" s="52">
        <f>SUM(F95:F101)</f>
        <v>127</v>
      </c>
      <c r="G102" s="145">
        <f>SUM(G95:G101)</f>
        <v>864</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18"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497"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27.75"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8</v>
      </c>
      <c r="E135" s="34">
        <v>9</v>
      </c>
      <c r="F135" s="34"/>
      <c r="G135" s="203">
        <f t="shared" si="12"/>
        <v>17</v>
      </c>
      <c r="H135" s="101">
        <v>33</v>
      </c>
      <c r="I135" s="37">
        <v>11</v>
      </c>
      <c r="J135" s="34">
        <v>1</v>
      </c>
      <c r="K135" s="34"/>
      <c r="L135" s="34"/>
      <c r="M135" s="34"/>
      <c r="N135" s="34">
        <v>4</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8</v>
      </c>
      <c r="E138" s="52">
        <f>SUM(E131:E137)</f>
        <v>9</v>
      </c>
      <c r="F138" s="52">
        <f>SUM(F131:F137)</f>
        <v>0</v>
      </c>
      <c r="G138" s="205">
        <f t="shared" ref="G138:O138" si="13">SUM(G131:G137)</f>
        <v>17</v>
      </c>
      <c r="H138" s="206">
        <f t="shared" si="13"/>
        <v>33</v>
      </c>
      <c r="I138" s="85">
        <f t="shared" si="13"/>
        <v>11</v>
      </c>
      <c r="J138" s="52">
        <f t="shared" si="13"/>
        <v>1</v>
      </c>
      <c r="K138" s="52">
        <f t="shared" si="13"/>
        <v>0</v>
      </c>
      <c r="L138" s="52">
        <f t="shared" si="13"/>
        <v>0</v>
      </c>
      <c r="M138" s="52">
        <f t="shared" si="13"/>
        <v>0</v>
      </c>
      <c r="N138" s="52">
        <f t="shared" si="13"/>
        <v>4</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275</v>
      </c>
      <c r="E146" s="34">
        <v>228</v>
      </c>
      <c r="F146" s="34"/>
      <c r="G146" s="214">
        <f t="shared" si="14"/>
        <v>503</v>
      </c>
      <c r="H146" s="37"/>
      <c r="I146" s="34">
        <v>72</v>
      </c>
      <c r="J146" s="34"/>
      <c r="K146" s="34">
        <v>431</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275</v>
      </c>
      <c r="E149" s="52">
        <f t="shared" si="15"/>
        <v>228</v>
      </c>
      <c r="F149" s="52">
        <f t="shared" si="15"/>
        <v>0</v>
      </c>
      <c r="G149" s="54">
        <f t="shared" si="15"/>
        <v>503</v>
      </c>
      <c r="H149" s="85">
        <f t="shared" si="15"/>
        <v>0</v>
      </c>
      <c r="I149" s="52">
        <f t="shared" si="15"/>
        <v>72</v>
      </c>
      <c r="J149" s="52">
        <f t="shared" si="15"/>
        <v>0</v>
      </c>
      <c r="K149" s="52">
        <f t="shared" si="15"/>
        <v>431</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501"/>
      <c r="C166" s="230">
        <f>SUM(C167:C169)</f>
        <v>0</v>
      </c>
      <c r="D166" s="230">
        <f t="shared" ref="D166:I166" si="16">SUM(D167:D169)</f>
        <v>0</v>
      </c>
      <c r="E166" s="230">
        <f t="shared" si="16"/>
        <v>0</v>
      </c>
      <c r="F166" s="230">
        <f t="shared" si="16"/>
        <v>0</v>
      </c>
      <c r="G166" s="230">
        <f t="shared" si="16"/>
        <v>720349.15999999992</v>
      </c>
      <c r="H166" s="230">
        <f t="shared" si="16"/>
        <v>0</v>
      </c>
      <c r="I166" s="231">
        <f t="shared" si="16"/>
        <v>0</v>
      </c>
    </row>
    <row r="167" spans="1:9" ht="15.75" x14ac:dyDescent="0.25">
      <c r="A167" s="232" t="s">
        <v>111</v>
      </c>
      <c r="B167" s="243"/>
      <c r="C167" s="78"/>
      <c r="D167" s="78"/>
      <c r="E167" s="78"/>
      <c r="F167" s="82"/>
      <c r="G167" s="78">
        <v>480033.87</v>
      </c>
      <c r="H167" s="78"/>
      <c r="I167" s="233"/>
    </row>
    <row r="168" spans="1:9" ht="15.75" x14ac:dyDescent="0.25">
      <c r="A168" s="232" t="s">
        <v>112</v>
      </c>
      <c r="B168" s="243"/>
      <c r="C168" s="78"/>
      <c r="D168" s="78"/>
      <c r="E168" s="78"/>
      <c r="F168" s="82"/>
      <c r="G168" s="78">
        <v>36796.68</v>
      </c>
      <c r="H168" s="78"/>
      <c r="I168" s="233"/>
    </row>
    <row r="169" spans="1:9" ht="15.75" x14ac:dyDescent="0.25">
      <c r="A169" s="232" t="s">
        <v>113</v>
      </c>
      <c r="B169" s="243"/>
      <c r="C169" s="78"/>
      <c r="D169" s="78"/>
      <c r="E169" s="78"/>
      <c r="F169" s="82"/>
      <c r="G169" s="78">
        <v>203518.61</v>
      </c>
      <c r="H169" s="78"/>
      <c r="I169" s="233"/>
    </row>
    <row r="170" spans="1:9" ht="31.5" x14ac:dyDescent="0.25">
      <c r="A170" s="234" t="s">
        <v>114</v>
      </c>
      <c r="B170" s="243"/>
      <c r="C170" s="78"/>
      <c r="D170" s="78"/>
      <c r="E170" s="78"/>
      <c r="F170" s="82"/>
      <c r="G170" s="82">
        <v>378731.84</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1099081</v>
      </c>
      <c r="H171" s="236">
        <f t="shared" si="17"/>
        <v>0</v>
      </c>
      <c r="I171" s="86">
        <f t="shared" si="17"/>
        <v>0</v>
      </c>
    </row>
  </sheetData>
  <mergeCells count="49">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I129:O129"/>
    <mergeCell ref="A131:B138"/>
    <mergeCell ref="A140:A141"/>
    <mergeCell ref="B140:B141"/>
    <mergeCell ref="C140:C141"/>
    <mergeCell ref="D140:G140"/>
    <mergeCell ref="H140:L1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51" workbookViewId="0">
      <selection activeCell="A12" sqref="A12:B19"/>
    </sheetView>
  </sheetViews>
  <sheetFormatPr defaultColWidth="8.85546875" defaultRowHeight="15" x14ac:dyDescent="0.25"/>
  <cols>
    <col min="1" max="1" width="87.28515625" customWidth="1"/>
    <col min="2" max="2" width="33.8554687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133</v>
      </c>
    </row>
    <row r="5" spans="1:17" s="2" customFormat="1" ht="15.75" x14ac:dyDescent="0.25">
      <c r="A5" s="239" t="s">
        <v>134</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135</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v>68</v>
      </c>
      <c r="E16" s="34"/>
      <c r="F16" s="34"/>
      <c r="G16" s="35">
        <v>4</v>
      </c>
      <c r="H16" s="36">
        <f t="shared" si="0"/>
        <v>72</v>
      </c>
      <c r="I16" s="37">
        <v>10</v>
      </c>
      <c r="J16" s="34"/>
      <c r="K16" s="34">
        <v>1</v>
      </c>
      <c r="L16" s="34"/>
      <c r="M16" s="34"/>
      <c r="N16" s="34">
        <v>5</v>
      </c>
      <c r="O16" s="38">
        <v>56</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68</v>
      </c>
      <c r="E19" s="52">
        <f>SUM(E12:E18)</f>
        <v>0</v>
      </c>
      <c r="F19" s="52">
        <f>SUM(F12:F18)</f>
        <v>0</v>
      </c>
      <c r="G19" s="52">
        <f>SUM(G12:G18)</f>
        <v>4</v>
      </c>
      <c r="H19" s="54">
        <f>SUM(D19:G19)</f>
        <v>72</v>
      </c>
      <c r="I19" s="85">
        <f>SUM(I12:I18)</f>
        <v>10</v>
      </c>
      <c r="J19" s="52"/>
      <c r="K19" s="52">
        <f>SUM(K12:K18)</f>
        <v>1</v>
      </c>
      <c r="L19" s="52">
        <f>SUM(L12:L18)</f>
        <v>0</v>
      </c>
      <c r="M19" s="52">
        <f>SUM(M12:M18)</f>
        <v>0</v>
      </c>
      <c r="N19" s="52">
        <f>SUM(N12:N18)</f>
        <v>5</v>
      </c>
      <c r="O19" s="86">
        <f>SUM(O12:O18)</f>
        <v>56</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245" t="s">
        <v>23</v>
      </c>
      <c r="C22" s="533"/>
      <c r="D22" s="62" t="s">
        <v>10</v>
      </c>
      <c r="E22" s="63" t="s">
        <v>11</v>
      </c>
      <c r="F22" s="63" t="s">
        <v>12</v>
      </c>
      <c r="G22" s="64" t="s">
        <v>13</v>
      </c>
      <c r="H22" s="25" t="s">
        <v>14</v>
      </c>
    </row>
    <row r="23" spans="1:17" ht="15" customHeight="1" x14ac:dyDescent="0.25">
      <c r="A23" s="534"/>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v>4617</v>
      </c>
      <c r="E27" s="34"/>
      <c r="F27" s="34"/>
      <c r="G27" s="35">
        <v>37000</v>
      </c>
      <c r="H27" s="36">
        <f t="shared" si="1"/>
        <v>41617</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4617</v>
      </c>
      <c r="E30" s="52">
        <f>SUM(E23:E29)</f>
        <v>0</v>
      </c>
      <c r="F30" s="52">
        <f>SUM(F23:F29)</f>
        <v>0</v>
      </c>
      <c r="G30" s="52">
        <f>SUM(G23:G29)</f>
        <v>37000</v>
      </c>
      <c r="H30" s="54">
        <f>SUM(D30:G30)</f>
        <v>41617</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39" customHeight="1" x14ac:dyDescent="0.25">
      <c r="A34" s="552" t="s">
        <v>25</v>
      </c>
      <c r="B34" s="554" t="s">
        <v>26</v>
      </c>
      <c r="C34" s="556" t="s">
        <v>6</v>
      </c>
      <c r="D34" s="538" t="s">
        <v>27</v>
      </c>
      <c r="E34" s="70" t="s">
        <v>28</v>
      </c>
      <c r="F34" s="71"/>
      <c r="G34" s="71"/>
      <c r="H34" s="71"/>
      <c r="I34" s="71"/>
      <c r="J34" s="71"/>
      <c r="K34" s="72"/>
    </row>
    <row r="35" spans="1:13" ht="108.7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136</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v>6</v>
      </c>
      <c r="E40" s="37">
        <v>1</v>
      </c>
      <c r="F40" s="34"/>
      <c r="G40" s="34"/>
      <c r="H40" s="34"/>
      <c r="I40" s="34"/>
      <c r="J40" s="34">
        <v>1</v>
      </c>
      <c r="K40" s="38">
        <v>4</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6</v>
      </c>
      <c r="E43" s="85">
        <f t="shared" ref="E43:J43" si="2">SUM(E36:E42)</f>
        <v>1</v>
      </c>
      <c r="F43" s="52">
        <f t="shared" si="2"/>
        <v>0</v>
      </c>
      <c r="G43" s="52">
        <f t="shared" si="2"/>
        <v>0</v>
      </c>
      <c r="H43" s="52">
        <f t="shared" si="2"/>
        <v>0</v>
      </c>
      <c r="I43" s="52">
        <f t="shared" si="2"/>
        <v>0</v>
      </c>
      <c r="J43" s="52">
        <f t="shared" si="2"/>
        <v>1</v>
      </c>
      <c r="K43" s="86">
        <f>SUM(K36:K42)</f>
        <v>4</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3">SUM(D50:D56)</f>
        <v>0</v>
      </c>
      <c r="E57" s="85">
        <f t="shared" si="3"/>
        <v>0</v>
      </c>
      <c r="F57" s="52">
        <f t="shared" si="3"/>
        <v>0</v>
      </c>
      <c r="G57" s="52">
        <f t="shared" si="3"/>
        <v>0</v>
      </c>
      <c r="H57" s="52">
        <f t="shared" si="3"/>
        <v>0</v>
      </c>
      <c r="I57" s="52">
        <f t="shared" si="3"/>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137</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6</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4">SUM(D63:D69)</f>
        <v>1</v>
      </c>
      <c r="E70" s="52">
        <f t="shared" si="4"/>
        <v>6</v>
      </c>
      <c r="F70" s="128">
        <f t="shared" si="4"/>
        <v>0</v>
      </c>
      <c r="G70" s="129">
        <f t="shared" si="4"/>
        <v>0</v>
      </c>
      <c r="H70" s="129">
        <f t="shared" si="4"/>
        <v>0</v>
      </c>
      <c r="I70" s="129">
        <f t="shared" si="4"/>
        <v>0</v>
      </c>
      <c r="J70" s="129">
        <f t="shared" si="4"/>
        <v>0</v>
      </c>
      <c r="K70" s="129">
        <f t="shared" si="4"/>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5">SUM(D74:D80)</f>
        <v>0</v>
      </c>
      <c r="E81" s="128">
        <f t="shared" si="5"/>
        <v>0</v>
      </c>
      <c r="F81" s="129">
        <f t="shared" si="5"/>
        <v>0</v>
      </c>
      <c r="G81" s="129">
        <f t="shared" si="5"/>
        <v>0</v>
      </c>
      <c r="H81" s="129">
        <f t="shared" si="5"/>
        <v>0</v>
      </c>
      <c r="I81" s="129">
        <f t="shared" si="5"/>
        <v>0</v>
      </c>
      <c r="J81" s="129">
        <f t="shared" si="5"/>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6">SUM(D85:D91)</f>
        <v>0</v>
      </c>
      <c r="E92" s="128">
        <f t="shared" si="6"/>
        <v>0</v>
      </c>
      <c r="F92" s="129">
        <f t="shared" si="6"/>
        <v>0</v>
      </c>
      <c r="G92" s="129">
        <f t="shared" si="6"/>
        <v>0</v>
      </c>
      <c r="H92" s="129">
        <f t="shared" si="6"/>
        <v>0</v>
      </c>
      <c r="I92" s="129">
        <f t="shared" si="6"/>
        <v>0</v>
      </c>
      <c r="J92" s="129">
        <f t="shared" si="6"/>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246" t="s">
        <v>6</v>
      </c>
      <c r="D94" s="139" t="s">
        <v>51</v>
      </c>
      <c r="E94" s="140"/>
      <c r="F94" s="140"/>
      <c r="G94" s="141"/>
      <c r="H94" s="11"/>
      <c r="I94" s="11"/>
      <c r="J94" s="11"/>
      <c r="K94" s="11"/>
      <c r="O94" s="9"/>
      <c r="P94" s="9"/>
    </row>
    <row r="95" spans="1:17" s="9" customFormat="1" ht="64.5" x14ac:dyDescent="0.25">
      <c r="A95" s="559"/>
      <c r="B95" s="561"/>
      <c r="C95" s="247"/>
      <c r="D95" s="115" t="s">
        <v>52</v>
      </c>
      <c r="E95" s="116" t="s">
        <v>53</v>
      </c>
      <c r="F95" s="116" t="s">
        <v>54</v>
      </c>
      <c r="G95" s="143" t="s">
        <v>14</v>
      </c>
      <c r="H95" s="11"/>
      <c r="I95" s="11"/>
      <c r="J95" s="11"/>
      <c r="K95" s="11"/>
      <c r="L95" s="11"/>
      <c r="M95" s="11"/>
      <c r="N95" s="11"/>
    </row>
    <row r="96" spans="1:17" s="11" customFormat="1" ht="26.25" customHeight="1" x14ac:dyDescent="0.25">
      <c r="A96" s="534" t="s">
        <v>138</v>
      </c>
      <c r="B96" s="535"/>
      <c r="C96" s="32">
        <v>2015</v>
      </c>
      <c r="D96" s="33"/>
      <c r="E96" s="34"/>
      <c r="F96" s="34"/>
      <c r="G96" s="144">
        <f t="shared" ref="G96:G101" si="7">SUM(D96:F96)</f>
        <v>0</v>
      </c>
      <c r="H96"/>
      <c r="I96"/>
      <c r="J96"/>
      <c r="K96"/>
    </row>
    <row r="97" spans="1:16" s="11" customFormat="1" ht="16.5" customHeight="1" x14ac:dyDescent="0.25">
      <c r="A97" s="534"/>
      <c r="B97" s="535"/>
      <c r="C97" s="32">
        <v>2016</v>
      </c>
      <c r="D97" s="33"/>
      <c r="E97" s="34"/>
      <c r="F97" s="34"/>
      <c r="G97" s="144">
        <f t="shared" si="7"/>
        <v>0</v>
      </c>
      <c r="H97"/>
      <c r="I97"/>
      <c r="J97"/>
      <c r="K97"/>
      <c r="L97"/>
      <c r="M97"/>
      <c r="N97"/>
    </row>
    <row r="98" spans="1:16" x14ac:dyDescent="0.25">
      <c r="A98" s="534"/>
      <c r="B98" s="535"/>
      <c r="C98" s="32">
        <v>2017</v>
      </c>
      <c r="D98" s="39"/>
      <c r="E98" s="40"/>
      <c r="F98" s="40"/>
      <c r="G98" s="144">
        <f t="shared" si="7"/>
        <v>0</v>
      </c>
    </row>
    <row r="99" spans="1:16" x14ac:dyDescent="0.25">
      <c r="A99" s="534"/>
      <c r="B99" s="535"/>
      <c r="C99" s="32">
        <v>2018</v>
      </c>
      <c r="D99" s="33">
        <v>72</v>
      </c>
      <c r="E99" s="34"/>
      <c r="F99" s="34"/>
      <c r="G99" s="144">
        <f t="shared" si="7"/>
        <v>72</v>
      </c>
    </row>
    <row r="100" spans="1:16" x14ac:dyDescent="0.25">
      <c r="A100" s="534"/>
      <c r="B100" s="535"/>
      <c r="C100" s="32">
        <v>2019</v>
      </c>
      <c r="D100" s="33"/>
      <c r="E100" s="34"/>
      <c r="F100" s="34"/>
      <c r="G100" s="144">
        <f t="shared" si="7"/>
        <v>0</v>
      </c>
    </row>
    <row r="101" spans="1:16" x14ac:dyDescent="0.25">
      <c r="A101" s="534"/>
      <c r="B101" s="535"/>
      <c r="C101" s="32">
        <v>2020</v>
      </c>
      <c r="D101" s="33"/>
      <c r="E101" s="34"/>
      <c r="F101" s="34"/>
      <c r="G101" s="144">
        <f t="shared" si="7"/>
        <v>0</v>
      </c>
    </row>
    <row r="102" spans="1:16" ht="15.75" thickBot="1" x14ac:dyDescent="0.3">
      <c r="A102" s="536"/>
      <c r="B102" s="537"/>
      <c r="C102" s="50" t="s">
        <v>14</v>
      </c>
      <c r="D102" s="51">
        <f>SUM(D95:D101)</f>
        <v>72</v>
      </c>
      <c r="E102" s="52">
        <f>SUM(E95:E101)</f>
        <v>0</v>
      </c>
      <c r="F102" s="52">
        <f>SUM(F95:F101)</f>
        <v>0</v>
      </c>
      <c r="G102" s="145">
        <f>SUM(G95:G101)</f>
        <v>72</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8">SUM(D109:F109)</f>
        <v>0</v>
      </c>
      <c r="H109" s="164"/>
      <c r="I109" s="123"/>
      <c r="J109" s="124"/>
    </row>
    <row r="110" spans="1:16" x14ac:dyDescent="0.25">
      <c r="A110" s="534"/>
      <c r="B110" s="535"/>
      <c r="C110" s="163">
        <v>2016</v>
      </c>
      <c r="D110" s="164"/>
      <c r="E110" s="123"/>
      <c r="F110" s="165"/>
      <c r="G110" s="166">
        <f t="shared" si="8"/>
        <v>0</v>
      </c>
      <c r="H110" s="164"/>
      <c r="I110" s="123"/>
      <c r="J110" s="124"/>
    </row>
    <row r="111" spans="1:16" x14ac:dyDescent="0.25">
      <c r="A111" s="534"/>
      <c r="B111" s="535"/>
      <c r="C111" s="163">
        <v>2017</v>
      </c>
      <c r="D111" s="167"/>
      <c r="E111" s="126"/>
      <c r="F111" s="168"/>
      <c r="G111" s="166">
        <f t="shared" si="8"/>
        <v>0</v>
      </c>
      <c r="H111" s="169"/>
      <c r="I111" s="170"/>
      <c r="J111" s="171"/>
    </row>
    <row r="112" spans="1:16" x14ac:dyDescent="0.25">
      <c r="A112" s="534"/>
      <c r="B112" s="535"/>
      <c r="C112" s="163">
        <v>2018</v>
      </c>
      <c r="D112" s="164"/>
      <c r="E112" s="123"/>
      <c r="F112" s="165"/>
      <c r="G112" s="166">
        <f t="shared" si="8"/>
        <v>0</v>
      </c>
      <c r="H112" s="164"/>
      <c r="I112" s="123"/>
      <c r="J112" s="124"/>
    </row>
    <row r="113" spans="1:19" x14ac:dyDescent="0.25">
      <c r="A113" s="534"/>
      <c r="B113" s="535"/>
      <c r="C113" s="163">
        <v>2019</v>
      </c>
      <c r="D113" s="164"/>
      <c r="E113" s="123"/>
      <c r="F113" s="165"/>
      <c r="G113" s="166">
        <f t="shared" si="8"/>
        <v>0</v>
      </c>
      <c r="H113" s="164"/>
      <c r="I113" s="123"/>
      <c r="J113" s="124"/>
    </row>
    <row r="114" spans="1:19" x14ac:dyDescent="0.25">
      <c r="A114" s="534"/>
      <c r="B114" s="535"/>
      <c r="C114" s="163">
        <v>2020</v>
      </c>
      <c r="D114" s="164"/>
      <c r="E114" s="123"/>
      <c r="F114" s="165"/>
      <c r="G114" s="166">
        <f t="shared" si="8"/>
        <v>0</v>
      </c>
      <c r="H114" s="164"/>
      <c r="I114" s="123"/>
      <c r="J114" s="124"/>
    </row>
    <row r="115" spans="1:19" ht="30.6" customHeight="1" thickBot="1" x14ac:dyDescent="0.3">
      <c r="A115" s="536"/>
      <c r="B115" s="537"/>
      <c r="C115" s="172" t="s">
        <v>14</v>
      </c>
      <c r="D115" s="173">
        <f t="shared" ref="D115:J115" si="9">SUM(D108:D114)</f>
        <v>0</v>
      </c>
      <c r="E115" s="129">
        <f t="shared" si="9"/>
        <v>0</v>
      </c>
      <c r="F115" s="174">
        <f t="shared" si="9"/>
        <v>0</v>
      </c>
      <c r="G115" s="174">
        <f t="shared" si="9"/>
        <v>0</v>
      </c>
      <c r="H115" s="173">
        <f t="shared" si="9"/>
        <v>0</v>
      </c>
      <c r="I115" s="129">
        <f t="shared" si="9"/>
        <v>0</v>
      </c>
      <c r="J115" s="175">
        <f t="shared" si="9"/>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248"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0">D118+F118+H118</f>
        <v>0</v>
      </c>
      <c r="K118" s="187">
        <f t="shared" si="10"/>
        <v>0</v>
      </c>
    </row>
    <row r="119" spans="1:19" x14ac:dyDescent="0.25">
      <c r="A119" s="534"/>
      <c r="B119" s="535"/>
      <c r="C119" s="32">
        <v>2015</v>
      </c>
      <c r="D119" s="122"/>
      <c r="E119" s="123"/>
      <c r="F119" s="123"/>
      <c r="G119" s="123"/>
      <c r="H119" s="123"/>
      <c r="I119" s="124"/>
      <c r="J119" s="187">
        <f t="shared" si="10"/>
        <v>0</v>
      </c>
      <c r="K119" s="187">
        <f t="shared" si="10"/>
        <v>0</v>
      </c>
    </row>
    <row r="120" spans="1:19" x14ac:dyDescent="0.25">
      <c r="A120" s="534"/>
      <c r="B120" s="535"/>
      <c r="C120" s="32">
        <v>2016</v>
      </c>
      <c r="D120" s="122"/>
      <c r="E120" s="123"/>
      <c r="F120" s="123"/>
      <c r="G120" s="123"/>
      <c r="H120" s="123"/>
      <c r="I120" s="124"/>
      <c r="J120" s="187">
        <f t="shared" si="10"/>
        <v>0</v>
      </c>
      <c r="K120" s="187">
        <f t="shared" si="10"/>
        <v>0</v>
      </c>
    </row>
    <row r="121" spans="1:19" x14ac:dyDescent="0.25">
      <c r="A121" s="534"/>
      <c r="B121" s="535"/>
      <c r="C121" s="32">
        <v>2017</v>
      </c>
      <c r="D121" s="125"/>
      <c r="E121" s="126"/>
      <c r="F121" s="126"/>
      <c r="G121" s="126"/>
      <c r="H121" s="126"/>
      <c r="I121" s="127"/>
      <c r="J121" s="187">
        <f t="shared" si="10"/>
        <v>0</v>
      </c>
      <c r="K121" s="187">
        <f t="shared" si="10"/>
        <v>0</v>
      </c>
    </row>
    <row r="122" spans="1:19" x14ac:dyDescent="0.25">
      <c r="A122" s="534"/>
      <c r="B122" s="535"/>
      <c r="C122" s="32">
        <v>2018</v>
      </c>
      <c r="D122" s="122"/>
      <c r="E122" s="123"/>
      <c r="F122" s="123"/>
      <c r="G122" s="123"/>
      <c r="H122" s="123"/>
      <c r="I122" s="124"/>
      <c r="J122" s="187">
        <f t="shared" si="10"/>
        <v>0</v>
      </c>
      <c r="K122" s="187">
        <f t="shared" si="10"/>
        <v>0</v>
      </c>
    </row>
    <row r="123" spans="1:19" x14ac:dyDescent="0.25">
      <c r="A123" s="534"/>
      <c r="B123" s="535"/>
      <c r="C123" s="32">
        <v>2019</v>
      </c>
      <c r="D123" s="122"/>
      <c r="E123" s="123"/>
      <c r="F123" s="123"/>
      <c r="G123" s="123"/>
      <c r="H123" s="123"/>
      <c r="I123" s="124"/>
      <c r="J123" s="187">
        <f t="shared" si="10"/>
        <v>0</v>
      </c>
      <c r="K123" s="187">
        <f t="shared" si="10"/>
        <v>0</v>
      </c>
    </row>
    <row r="124" spans="1:19" x14ac:dyDescent="0.25">
      <c r="A124" s="534"/>
      <c r="B124" s="535"/>
      <c r="C124" s="32">
        <v>2020</v>
      </c>
      <c r="D124" s="122"/>
      <c r="E124" s="123"/>
      <c r="F124" s="123"/>
      <c r="G124" s="123"/>
      <c r="H124" s="123"/>
      <c r="I124" s="124"/>
      <c r="J124" s="187">
        <f t="shared" si="10"/>
        <v>0</v>
      </c>
      <c r="K124" s="187">
        <f t="shared" si="10"/>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139</v>
      </c>
      <c r="B131" s="590"/>
      <c r="C131" s="32">
        <v>2014</v>
      </c>
      <c r="D131" s="33"/>
      <c r="E131" s="34"/>
      <c r="F131" s="34"/>
      <c r="G131" s="203">
        <f t="shared" ref="G131:G137" si="11">SUM(D131:E131)</f>
        <v>0</v>
      </c>
      <c r="H131" s="101"/>
      <c r="I131" s="37"/>
      <c r="J131" s="34"/>
      <c r="K131" s="34"/>
      <c r="L131" s="34"/>
      <c r="M131" s="34"/>
      <c r="N131" s="34"/>
      <c r="O131" s="38"/>
    </row>
    <row r="132" spans="1:15" x14ac:dyDescent="0.25">
      <c r="A132" s="589"/>
      <c r="B132" s="590"/>
      <c r="C132" s="32">
        <v>2015</v>
      </c>
      <c r="D132" s="33"/>
      <c r="E132" s="34"/>
      <c r="F132" s="34"/>
      <c r="G132" s="203">
        <f t="shared" si="11"/>
        <v>0</v>
      </c>
      <c r="H132" s="101"/>
      <c r="I132" s="37"/>
      <c r="J132" s="34"/>
      <c r="K132" s="34"/>
      <c r="L132" s="34"/>
      <c r="M132" s="34"/>
      <c r="N132" s="34"/>
      <c r="O132" s="38"/>
    </row>
    <row r="133" spans="1:15" x14ac:dyDescent="0.25">
      <c r="A133" s="589"/>
      <c r="B133" s="590"/>
      <c r="C133" s="32">
        <v>2016</v>
      </c>
      <c r="D133" s="33"/>
      <c r="E133" s="34"/>
      <c r="F133" s="34"/>
      <c r="G133" s="203">
        <f t="shared" si="11"/>
        <v>0</v>
      </c>
      <c r="H133" s="101"/>
      <c r="I133" s="37"/>
      <c r="J133" s="34"/>
      <c r="K133" s="34"/>
      <c r="L133" s="34"/>
      <c r="M133" s="34"/>
      <c r="N133" s="34"/>
      <c r="O133" s="38"/>
    </row>
    <row r="134" spans="1:15" x14ac:dyDescent="0.25">
      <c r="A134" s="589"/>
      <c r="B134" s="590"/>
      <c r="C134" s="32">
        <v>2017</v>
      </c>
      <c r="D134" s="39"/>
      <c r="E134" s="40"/>
      <c r="F134" s="40"/>
      <c r="G134" s="203">
        <f t="shared" si="11"/>
        <v>0</v>
      </c>
      <c r="H134" s="101"/>
      <c r="I134" s="42"/>
      <c r="J134" s="40"/>
      <c r="K134" s="40"/>
      <c r="L134" s="40"/>
      <c r="M134" s="40"/>
      <c r="N134" s="40"/>
      <c r="O134" s="43"/>
    </row>
    <row r="135" spans="1:15" x14ac:dyDescent="0.25">
      <c r="A135" s="589"/>
      <c r="B135" s="590"/>
      <c r="C135" s="32">
        <v>2018</v>
      </c>
      <c r="D135" s="33">
        <v>18</v>
      </c>
      <c r="E135" s="34">
        <v>6</v>
      </c>
      <c r="F135" s="34"/>
      <c r="G135" s="203">
        <f t="shared" si="11"/>
        <v>24</v>
      </c>
      <c r="H135" s="101">
        <v>45</v>
      </c>
      <c r="I135" s="37">
        <v>10</v>
      </c>
      <c r="J135" s="34"/>
      <c r="K135" s="34"/>
      <c r="L135" s="34"/>
      <c r="M135" s="34"/>
      <c r="N135" s="34">
        <v>4</v>
      </c>
      <c r="O135" s="38">
        <v>10</v>
      </c>
    </row>
    <row r="136" spans="1:15" x14ac:dyDescent="0.25">
      <c r="A136" s="589"/>
      <c r="B136" s="590"/>
      <c r="C136" s="32">
        <v>2019</v>
      </c>
      <c r="D136" s="33"/>
      <c r="E136" s="34"/>
      <c r="F136" s="34"/>
      <c r="G136" s="203">
        <f t="shared" si="11"/>
        <v>0</v>
      </c>
      <c r="H136" s="101"/>
      <c r="I136" s="37"/>
      <c r="J136" s="34"/>
      <c r="K136" s="34"/>
      <c r="L136" s="34"/>
      <c r="M136" s="34"/>
      <c r="N136" s="34"/>
      <c r="O136" s="38"/>
    </row>
    <row r="137" spans="1:15" x14ac:dyDescent="0.25">
      <c r="A137" s="589"/>
      <c r="B137" s="590"/>
      <c r="C137" s="32">
        <v>2020</v>
      </c>
      <c r="D137" s="33"/>
      <c r="E137" s="34"/>
      <c r="F137" s="34"/>
      <c r="G137" s="203">
        <f t="shared" si="11"/>
        <v>0</v>
      </c>
      <c r="H137" s="101"/>
      <c r="I137" s="37"/>
      <c r="J137" s="34"/>
      <c r="K137" s="34"/>
      <c r="L137" s="34"/>
      <c r="M137" s="34"/>
      <c r="N137" s="34"/>
      <c r="O137" s="38"/>
    </row>
    <row r="138" spans="1:15" ht="15.95" customHeight="1" thickBot="1" x14ac:dyDescent="0.3">
      <c r="A138" s="591"/>
      <c r="B138" s="592"/>
      <c r="C138" s="50" t="s">
        <v>14</v>
      </c>
      <c r="D138" s="51">
        <f>SUM(D131:D137)</f>
        <v>18</v>
      </c>
      <c r="E138" s="52">
        <f>SUM(E131:E137)</f>
        <v>6</v>
      </c>
      <c r="F138" s="52">
        <f>SUM(F131:F137)</f>
        <v>0</v>
      </c>
      <c r="G138" s="205">
        <f t="shared" ref="G138:O138" si="12">SUM(G131:G137)</f>
        <v>24</v>
      </c>
      <c r="H138" s="206">
        <f t="shared" si="12"/>
        <v>45</v>
      </c>
      <c r="I138" s="85">
        <f t="shared" si="12"/>
        <v>10</v>
      </c>
      <c r="J138" s="52">
        <f t="shared" si="12"/>
        <v>0</v>
      </c>
      <c r="K138" s="52">
        <f t="shared" si="12"/>
        <v>0</v>
      </c>
      <c r="L138" s="52">
        <f t="shared" si="12"/>
        <v>0</v>
      </c>
      <c r="M138" s="52">
        <f t="shared" si="12"/>
        <v>0</v>
      </c>
      <c r="N138" s="52">
        <f t="shared" si="12"/>
        <v>4</v>
      </c>
      <c r="O138" s="86">
        <f t="shared" si="12"/>
        <v>10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140</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3">SUM(D143:F143)</f>
        <v>0</v>
      </c>
      <c r="H143" s="37"/>
      <c r="I143" s="34"/>
      <c r="J143" s="34"/>
      <c r="K143" s="34"/>
      <c r="L143" s="38"/>
    </row>
    <row r="144" spans="1:15" x14ac:dyDescent="0.25">
      <c r="A144" s="534"/>
      <c r="B144" s="535"/>
      <c r="C144" s="32">
        <v>2016</v>
      </c>
      <c r="D144" s="33"/>
      <c r="E144" s="34"/>
      <c r="F144" s="34"/>
      <c r="G144" s="214">
        <f t="shared" si="13"/>
        <v>0</v>
      </c>
      <c r="H144" s="37"/>
      <c r="I144" s="34"/>
      <c r="J144" s="34"/>
      <c r="K144" s="34"/>
      <c r="L144" s="38"/>
    </row>
    <row r="145" spans="1:15" x14ac:dyDescent="0.25">
      <c r="A145" s="534"/>
      <c r="B145" s="535"/>
      <c r="C145" s="32">
        <v>2017</v>
      </c>
      <c r="D145" s="39"/>
      <c r="E145" s="40"/>
      <c r="F145" s="40"/>
      <c r="G145" s="214">
        <f t="shared" si="13"/>
        <v>0</v>
      </c>
      <c r="H145" s="42"/>
      <c r="I145" s="40"/>
      <c r="J145" s="40"/>
      <c r="K145" s="40"/>
      <c r="L145" s="43"/>
    </row>
    <row r="146" spans="1:15" x14ac:dyDescent="0.25">
      <c r="A146" s="534"/>
      <c r="B146" s="535"/>
      <c r="C146" s="32">
        <v>2018</v>
      </c>
      <c r="D146" s="33">
        <v>709</v>
      </c>
      <c r="E146" s="34">
        <v>391</v>
      </c>
      <c r="F146" s="34"/>
      <c r="G146" s="214">
        <f t="shared" si="13"/>
        <v>1100</v>
      </c>
      <c r="H146" s="37"/>
      <c r="I146" s="34">
        <v>113</v>
      </c>
      <c r="J146" s="34"/>
      <c r="K146" s="34">
        <v>775</v>
      </c>
      <c r="L146" s="38">
        <v>212</v>
      </c>
    </row>
    <row r="147" spans="1:15" x14ac:dyDescent="0.25">
      <c r="A147" s="534"/>
      <c r="B147" s="535"/>
      <c r="C147" s="32">
        <v>2019</v>
      </c>
      <c r="D147" s="33"/>
      <c r="E147" s="34"/>
      <c r="F147" s="34"/>
      <c r="G147" s="214">
        <f t="shared" si="13"/>
        <v>0</v>
      </c>
      <c r="H147" s="37"/>
      <c r="I147" s="34"/>
      <c r="J147" s="34"/>
      <c r="K147" s="34"/>
      <c r="L147" s="38"/>
    </row>
    <row r="148" spans="1:15" x14ac:dyDescent="0.25">
      <c r="A148" s="534"/>
      <c r="B148" s="535"/>
      <c r="C148" s="32">
        <v>2020</v>
      </c>
      <c r="D148" s="33"/>
      <c r="E148" s="34"/>
      <c r="F148" s="34"/>
      <c r="G148" s="214">
        <f t="shared" si="13"/>
        <v>0</v>
      </c>
      <c r="H148" s="37"/>
      <c r="I148" s="34"/>
      <c r="J148" s="34"/>
      <c r="K148" s="34"/>
      <c r="L148" s="38"/>
    </row>
    <row r="149" spans="1:15" ht="15.75" thickBot="1" x14ac:dyDescent="0.3">
      <c r="A149" s="536"/>
      <c r="B149" s="537"/>
      <c r="C149" s="50" t="s">
        <v>14</v>
      </c>
      <c r="D149" s="51">
        <f t="shared" ref="D149:L149" si="14">SUM(D142:D148)</f>
        <v>709</v>
      </c>
      <c r="E149" s="52">
        <f t="shared" si="14"/>
        <v>391</v>
      </c>
      <c r="F149" s="52">
        <f t="shared" si="14"/>
        <v>0</v>
      </c>
      <c r="G149" s="54">
        <f t="shared" si="14"/>
        <v>1100</v>
      </c>
      <c r="H149" s="85">
        <f t="shared" si="14"/>
        <v>0</v>
      </c>
      <c r="I149" s="52">
        <f t="shared" si="14"/>
        <v>113</v>
      </c>
      <c r="J149" s="52">
        <f t="shared" si="14"/>
        <v>0</v>
      </c>
      <c r="K149" s="52">
        <f t="shared" si="14"/>
        <v>775</v>
      </c>
      <c r="L149" s="86">
        <f t="shared" si="14"/>
        <v>212</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5">SUM(D167:D169)</f>
        <v>0</v>
      </c>
      <c r="E166" s="230">
        <f t="shared" si="15"/>
        <v>0</v>
      </c>
      <c r="F166" s="230">
        <f t="shared" si="15"/>
        <v>0</v>
      </c>
      <c r="G166" s="230">
        <f t="shared" si="15"/>
        <v>651098.1399999999</v>
      </c>
      <c r="H166" s="230">
        <f t="shared" si="15"/>
        <v>0</v>
      </c>
      <c r="I166" s="231">
        <f t="shared" si="15"/>
        <v>0</v>
      </c>
    </row>
    <row r="167" spans="1:9" ht="15.75" x14ac:dyDescent="0.25">
      <c r="A167" s="232" t="s">
        <v>111</v>
      </c>
      <c r="B167" s="243"/>
      <c r="C167" s="78"/>
      <c r="D167" s="78"/>
      <c r="E167" s="78"/>
      <c r="F167" s="82"/>
      <c r="G167" s="78">
        <v>579416.69999999995</v>
      </c>
      <c r="H167" s="78"/>
      <c r="I167" s="233"/>
    </row>
    <row r="168" spans="1:9" ht="15.75" x14ac:dyDescent="0.25">
      <c r="A168" s="232" t="s">
        <v>112</v>
      </c>
      <c r="B168" s="243"/>
      <c r="C168" s="78"/>
      <c r="D168" s="78"/>
      <c r="E168" s="78"/>
      <c r="F168" s="82"/>
      <c r="G168" s="78">
        <v>71681.440000000002</v>
      </c>
      <c r="H168" s="78"/>
      <c r="I168" s="233"/>
    </row>
    <row r="169" spans="1:9" ht="15.75" x14ac:dyDescent="0.25">
      <c r="A169" s="232" t="s">
        <v>113</v>
      </c>
      <c r="B169" s="243"/>
      <c r="C169" s="78"/>
      <c r="D169" s="78"/>
      <c r="E169" s="78"/>
      <c r="F169" s="82"/>
      <c r="G169" s="78"/>
      <c r="H169" s="78"/>
      <c r="I169" s="233"/>
    </row>
    <row r="170" spans="1:9" ht="204.75" customHeight="1" x14ac:dyDescent="0.25">
      <c r="A170" s="234" t="s">
        <v>114</v>
      </c>
      <c r="B170" s="249" t="s">
        <v>141</v>
      </c>
      <c r="C170" s="78"/>
      <c r="D170" s="78"/>
      <c r="E170" s="78"/>
      <c r="F170" s="82"/>
      <c r="G170" s="250">
        <v>545322.86</v>
      </c>
      <c r="H170" s="78"/>
      <c r="I170" s="233"/>
    </row>
    <row r="171" spans="1:9" ht="16.5" thickBot="1" x14ac:dyDescent="0.3">
      <c r="A171" s="235" t="s">
        <v>115</v>
      </c>
      <c r="B171" s="244"/>
      <c r="C171" s="236">
        <f t="shared" ref="C171:I171" si="16">C166+C170</f>
        <v>0</v>
      </c>
      <c r="D171" s="236">
        <f t="shared" si="16"/>
        <v>0</v>
      </c>
      <c r="E171" s="236">
        <f t="shared" si="16"/>
        <v>0</v>
      </c>
      <c r="F171" s="236">
        <f t="shared" si="16"/>
        <v>0</v>
      </c>
      <c r="G171" s="236">
        <f t="shared" si="16"/>
        <v>1196421</v>
      </c>
      <c r="H171" s="236">
        <f t="shared" si="16"/>
        <v>0</v>
      </c>
      <c r="I171" s="86">
        <f t="shared" si="16"/>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42"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238</v>
      </c>
    </row>
    <row r="5" spans="1:17" s="2" customFormat="1" ht="15.75" x14ac:dyDescent="0.25">
      <c r="A5" s="239" t="s">
        <v>160</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239</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f>5+3+3+5+17+1+11+5</f>
        <v>50</v>
      </c>
      <c r="E16" s="34">
        <v>1</v>
      </c>
      <c r="F16" s="34">
        <f>1+1+1+1+1+1+1</f>
        <v>7</v>
      </c>
      <c r="G16" s="35"/>
      <c r="H16" s="36">
        <f t="shared" si="0"/>
        <v>58</v>
      </c>
      <c r="I16" s="37">
        <f>3+5+18</f>
        <v>26</v>
      </c>
      <c r="J16" s="34">
        <f>3+1+1+1</f>
        <v>6</v>
      </c>
      <c r="K16" s="34">
        <f>1+1</f>
        <v>2</v>
      </c>
      <c r="L16" s="34"/>
      <c r="M16" s="34"/>
      <c r="N16" s="34">
        <f>5+1+1+1+11</f>
        <v>19</v>
      </c>
      <c r="O16" s="38">
        <f>5</f>
        <v>5</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50</v>
      </c>
      <c r="E19" s="52">
        <f>SUM(E12:E18)</f>
        <v>1</v>
      </c>
      <c r="F19" s="52">
        <f>SUM(F12:F18)</f>
        <v>7</v>
      </c>
      <c r="G19" s="53"/>
      <c r="H19" s="54">
        <f>SUM(D19:F19)</f>
        <v>58</v>
      </c>
      <c r="I19" s="85">
        <f t="shared" ref="I19:O19" si="1">SUM(I12:I18)</f>
        <v>26</v>
      </c>
      <c r="J19" s="85">
        <f t="shared" si="1"/>
        <v>6</v>
      </c>
      <c r="K19" s="52">
        <f t="shared" si="1"/>
        <v>2</v>
      </c>
      <c r="L19" s="52">
        <f t="shared" si="1"/>
        <v>0</v>
      </c>
      <c r="M19" s="52">
        <f t="shared" si="1"/>
        <v>0</v>
      </c>
      <c r="N19" s="52">
        <f t="shared" si="1"/>
        <v>19</v>
      </c>
      <c r="O19" s="86">
        <f t="shared" si="1"/>
        <v>5</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399" t="s">
        <v>23</v>
      </c>
      <c r="C22" s="533"/>
      <c r="D22" s="62" t="s">
        <v>10</v>
      </c>
      <c r="E22" s="63" t="s">
        <v>11</v>
      </c>
      <c r="F22" s="63" t="s">
        <v>12</v>
      </c>
      <c r="G22" s="64" t="s">
        <v>13</v>
      </c>
      <c r="H22" s="25" t="s">
        <v>14</v>
      </c>
    </row>
    <row r="23" spans="1:17" ht="15" customHeight="1" x14ac:dyDescent="0.25">
      <c r="A23" s="534" t="s">
        <v>240</v>
      </c>
      <c r="B23" s="535"/>
      <c r="C23" s="32">
        <v>2014</v>
      </c>
      <c r="D23" s="33"/>
      <c r="E23" s="34"/>
      <c r="F23" s="34"/>
      <c r="G23" s="35"/>
      <c r="H23" s="36">
        <f>SUM(D23:G23)</f>
        <v>0</v>
      </c>
    </row>
    <row r="24" spans="1:17" x14ac:dyDescent="0.25">
      <c r="A24" s="534"/>
      <c r="B24" s="535"/>
      <c r="C24" s="32">
        <v>2015</v>
      </c>
      <c r="D24" s="33"/>
      <c r="E24" s="34"/>
      <c r="F24" s="34"/>
      <c r="G24" s="35"/>
      <c r="H24" s="36">
        <f t="shared" ref="H24:H29" si="2">SUM(D24:G24)</f>
        <v>0</v>
      </c>
    </row>
    <row r="25" spans="1:17" x14ac:dyDescent="0.25">
      <c r="A25" s="534"/>
      <c r="B25" s="535"/>
      <c r="C25" s="32">
        <v>2016</v>
      </c>
      <c r="D25" s="33"/>
      <c r="E25" s="34"/>
      <c r="F25" s="34"/>
      <c r="G25" s="35"/>
      <c r="H25" s="36">
        <f t="shared" si="2"/>
        <v>0</v>
      </c>
    </row>
    <row r="26" spans="1:17" x14ac:dyDescent="0.25">
      <c r="A26" s="534"/>
      <c r="B26" s="535"/>
      <c r="C26" s="32">
        <v>2017</v>
      </c>
      <c r="D26" s="39"/>
      <c r="E26" s="40"/>
      <c r="F26" s="40"/>
      <c r="G26" s="41"/>
      <c r="H26" s="36">
        <f t="shared" si="2"/>
        <v>0</v>
      </c>
    </row>
    <row r="27" spans="1:17" x14ac:dyDescent="0.25">
      <c r="A27" s="534"/>
      <c r="B27" s="535"/>
      <c r="C27" s="32">
        <v>2018</v>
      </c>
      <c r="D27" s="33">
        <f>312+250+152+240+500+53+35+413+63</f>
        <v>2018</v>
      </c>
      <c r="E27" s="34">
        <v>45</v>
      </c>
      <c r="F27" s="34">
        <f>34+25+40+20+30+20</f>
        <v>169</v>
      </c>
      <c r="G27" s="35"/>
      <c r="H27" s="36">
        <f t="shared" si="2"/>
        <v>2232</v>
      </c>
    </row>
    <row r="28" spans="1:17" x14ac:dyDescent="0.25">
      <c r="A28" s="534"/>
      <c r="B28" s="535"/>
      <c r="C28" s="32">
        <v>2019</v>
      </c>
      <c r="D28" s="33"/>
      <c r="E28" s="34"/>
      <c r="F28" s="34"/>
      <c r="G28" s="35"/>
      <c r="H28" s="36">
        <f t="shared" si="2"/>
        <v>0</v>
      </c>
    </row>
    <row r="29" spans="1:17" x14ac:dyDescent="0.25">
      <c r="A29" s="534"/>
      <c r="B29" s="535"/>
      <c r="C29" s="32">
        <v>2020</v>
      </c>
      <c r="D29" s="33"/>
      <c r="E29" s="34"/>
      <c r="F29" s="34"/>
      <c r="G29" s="35"/>
      <c r="H29" s="36">
        <f t="shared" si="2"/>
        <v>0</v>
      </c>
    </row>
    <row r="30" spans="1:17" ht="24" customHeight="1" thickBot="1" x14ac:dyDescent="0.3">
      <c r="A30" s="536"/>
      <c r="B30" s="537"/>
      <c r="C30" s="50" t="s">
        <v>14</v>
      </c>
      <c r="D30" s="51">
        <f>SUM(D23:D29)</f>
        <v>2018</v>
      </c>
      <c r="E30" s="52">
        <f>SUM(E23:E29)</f>
        <v>45</v>
      </c>
      <c r="F30" s="52">
        <f>SUM(F23:F29)</f>
        <v>169</v>
      </c>
      <c r="G30" s="52">
        <f>SUM(G23:G29)</f>
        <v>0</v>
      </c>
      <c r="H30" s="54">
        <f t="shared" ref="H30" si="3">SUM(D30:F30)</f>
        <v>2232</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241</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f>SUM(E40:K40)</f>
        <v>7</v>
      </c>
      <c r="E40" s="37">
        <f>1+3</f>
        <v>4</v>
      </c>
      <c r="F40" s="34">
        <f>1+1</f>
        <v>2</v>
      </c>
      <c r="G40" s="34">
        <v>1</v>
      </c>
      <c r="H40" s="34">
        <v>0</v>
      </c>
      <c r="I40" s="34">
        <v>0</v>
      </c>
      <c r="J40" s="34">
        <v>0</v>
      </c>
      <c r="K40" s="38">
        <v>0</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7</v>
      </c>
      <c r="E43" s="85">
        <f t="shared" ref="E43:J43" si="4">SUM(E36:E42)</f>
        <v>4</v>
      </c>
      <c r="F43" s="52">
        <f t="shared" si="4"/>
        <v>2</v>
      </c>
      <c r="G43" s="52">
        <f t="shared" si="4"/>
        <v>1</v>
      </c>
      <c r="H43" s="52">
        <f t="shared" si="4"/>
        <v>0</v>
      </c>
      <c r="I43" s="52">
        <f t="shared" si="4"/>
        <v>0</v>
      </c>
      <c r="J43" s="52">
        <f t="shared" si="4"/>
        <v>0</v>
      </c>
      <c r="K43" s="86">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v>0</v>
      </c>
      <c r="E54" s="37">
        <v>0</v>
      </c>
      <c r="F54" s="34">
        <v>0</v>
      </c>
      <c r="G54" s="34">
        <v>0</v>
      </c>
      <c r="H54" s="34">
        <v>0</v>
      </c>
      <c r="I54" s="34">
        <v>0</v>
      </c>
      <c r="J54" s="34">
        <v>0</v>
      </c>
      <c r="K54" s="38">
        <v>0</v>
      </c>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5">SUM(D50:D56)</f>
        <v>0</v>
      </c>
      <c r="E57" s="85">
        <f t="shared" si="5"/>
        <v>0</v>
      </c>
      <c r="F57" s="52">
        <f t="shared" si="5"/>
        <v>0</v>
      </c>
      <c r="G57" s="52">
        <f t="shared" si="5"/>
        <v>0</v>
      </c>
      <c r="H57" s="52">
        <f t="shared" si="5"/>
        <v>0</v>
      </c>
      <c r="I57" s="52">
        <f t="shared" si="5"/>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242</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5</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6">SUM(D63:D69)</f>
        <v>1</v>
      </c>
      <c r="E70" s="52">
        <f t="shared" si="6"/>
        <v>5</v>
      </c>
      <c r="F70" s="128">
        <f t="shared" si="6"/>
        <v>0</v>
      </c>
      <c r="G70" s="129">
        <f t="shared" si="6"/>
        <v>0</v>
      </c>
      <c r="H70" s="129">
        <f t="shared" si="6"/>
        <v>0</v>
      </c>
      <c r="I70" s="129">
        <f t="shared" si="6"/>
        <v>0</v>
      </c>
      <c r="J70" s="129">
        <f t="shared" si="6"/>
        <v>0</v>
      </c>
      <c r="K70" s="129">
        <f t="shared" si="6"/>
        <v>0</v>
      </c>
      <c r="L70" s="130">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243</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v>2</v>
      </c>
      <c r="E78" s="122"/>
      <c r="F78" s="123"/>
      <c r="G78" s="123"/>
      <c r="H78" s="123"/>
      <c r="I78" s="123"/>
      <c r="J78" s="123"/>
      <c r="K78" s="124">
        <v>2</v>
      </c>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7">SUM(D74:D80)</f>
        <v>2</v>
      </c>
      <c r="E81" s="128">
        <f t="shared" si="7"/>
        <v>0</v>
      </c>
      <c r="F81" s="129">
        <f t="shared" si="7"/>
        <v>0</v>
      </c>
      <c r="G81" s="129">
        <f t="shared" si="7"/>
        <v>0</v>
      </c>
      <c r="H81" s="129">
        <f t="shared" si="7"/>
        <v>0</v>
      </c>
      <c r="I81" s="129">
        <f t="shared" si="7"/>
        <v>0</v>
      </c>
      <c r="J81" s="129">
        <f t="shared" si="7"/>
        <v>0</v>
      </c>
      <c r="K81" s="130">
        <f>SUM(K74:K80)</f>
        <v>2</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v>0</v>
      </c>
      <c r="E89" s="122">
        <v>0</v>
      </c>
      <c r="F89" s="123">
        <v>0</v>
      </c>
      <c r="G89" s="123">
        <v>0</v>
      </c>
      <c r="H89" s="123">
        <v>0</v>
      </c>
      <c r="I89" s="123">
        <v>0</v>
      </c>
      <c r="J89" s="123">
        <v>0</v>
      </c>
      <c r="K89" s="124">
        <v>0</v>
      </c>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8">SUM(D85:D91)</f>
        <v>0</v>
      </c>
      <c r="E92" s="128">
        <f t="shared" si="8"/>
        <v>0</v>
      </c>
      <c r="F92" s="129">
        <f t="shared" si="8"/>
        <v>0</v>
      </c>
      <c r="G92" s="129">
        <f t="shared" si="8"/>
        <v>0</v>
      </c>
      <c r="H92" s="129">
        <f t="shared" si="8"/>
        <v>0</v>
      </c>
      <c r="I92" s="129">
        <f t="shared" si="8"/>
        <v>0</v>
      </c>
      <c r="J92" s="129">
        <f t="shared" si="8"/>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397" t="s">
        <v>6</v>
      </c>
      <c r="D94" s="139" t="s">
        <v>51</v>
      </c>
      <c r="E94" s="140"/>
      <c r="F94" s="140"/>
      <c r="G94" s="141"/>
      <c r="H94" s="11"/>
      <c r="I94" s="11"/>
      <c r="J94" s="11"/>
      <c r="K94" s="11"/>
      <c r="O94" s="9"/>
      <c r="P94" s="9"/>
    </row>
    <row r="95" spans="1:17" s="9" customFormat="1" ht="64.5" x14ac:dyDescent="0.25">
      <c r="A95" s="559"/>
      <c r="B95" s="561"/>
      <c r="C95" s="398"/>
      <c r="D95" s="115" t="s">
        <v>52</v>
      </c>
      <c r="E95" s="116" t="s">
        <v>53</v>
      </c>
      <c r="F95" s="116" t="s">
        <v>54</v>
      </c>
      <c r="G95" s="143" t="s">
        <v>14</v>
      </c>
      <c r="H95" s="11"/>
      <c r="I95" s="11"/>
      <c r="J95" s="11"/>
      <c r="K95" s="11"/>
      <c r="L95" s="11"/>
      <c r="M95" s="11"/>
      <c r="N95" s="11"/>
    </row>
    <row r="96" spans="1:17" s="11" customFormat="1" ht="26.25" customHeight="1" x14ac:dyDescent="0.25">
      <c r="A96" s="618" t="s">
        <v>244</v>
      </c>
      <c r="B96" s="619"/>
      <c r="C96" s="32">
        <v>2015</v>
      </c>
      <c r="D96" s="33"/>
      <c r="E96" s="34"/>
      <c r="F96" s="34"/>
      <c r="G96" s="144">
        <f t="shared" ref="G96:G101" si="9">SUM(D96:F96)</f>
        <v>0</v>
      </c>
      <c r="H96"/>
      <c r="I96"/>
      <c r="J96"/>
      <c r="K96"/>
    </row>
    <row r="97" spans="1:16" s="11" customFormat="1" ht="16.5" customHeight="1" x14ac:dyDescent="0.25">
      <c r="A97" s="618"/>
      <c r="B97" s="619"/>
      <c r="C97" s="32">
        <v>2016</v>
      </c>
      <c r="D97" s="33"/>
      <c r="E97" s="34"/>
      <c r="F97" s="34"/>
      <c r="G97" s="144">
        <f t="shared" si="9"/>
        <v>0</v>
      </c>
      <c r="H97"/>
      <c r="I97"/>
      <c r="J97"/>
      <c r="K97"/>
      <c r="L97"/>
      <c r="M97"/>
      <c r="N97"/>
    </row>
    <row r="98" spans="1:16" x14ac:dyDescent="0.25">
      <c r="A98" s="618"/>
      <c r="B98" s="619"/>
      <c r="C98" s="32">
        <v>2017</v>
      </c>
      <c r="D98" s="39"/>
      <c r="E98" s="40"/>
      <c r="F98" s="40"/>
      <c r="G98" s="144">
        <f t="shared" si="9"/>
        <v>0</v>
      </c>
    </row>
    <row r="99" spans="1:16" x14ac:dyDescent="0.25">
      <c r="A99" s="618"/>
      <c r="B99" s="619"/>
      <c r="C99" s="32">
        <v>2018</v>
      </c>
      <c r="D99" s="33">
        <v>63</v>
      </c>
      <c r="E99" s="34">
        <v>119</v>
      </c>
      <c r="F99" s="34">
        <v>0</v>
      </c>
      <c r="G99" s="144">
        <f t="shared" si="9"/>
        <v>182</v>
      </c>
    </row>
    <row r="100" spans="1:16" x14ac:dyDescent="0.25">
      <c r="A100" s="618"/>
      <c r="B100" s="619"/>
      <c r="C100" s="32">
        <v>2019</v>
      </c>
      <c r="D100" s="33"/>
      <c r="E100" s="34"/>
      <c r="F100" s="34"/>
      <c r="G100" s="144">
        <f t="shared" si="9"/>
        <v>0</v>
      </c>
    </row>
    <row r="101" spans="1:16" x14ac:dyDescent="0.25">
      <c r="A101" s="618"/>
      <c r="B101" s="619"/>
      <c r="C101" s="32">
        <v>2020</v>
      </c>
      <c r="D101" s="33"/>
      <c r="E101" s="34"/>
      <c r="F101" s="34"/>
      <c r="G101" s="144">
        <f t="shared" si="9"/>
        <v>0</v>
      </c>
    </row>
    <row r="102" spans="1:16" ht="15.75" thickBot="1" x14ac:dyDescent="0.3">
      <c r="A102" s="620"/>
      <c r="B102" s="621"/>
      <c r="C102" s="50" t="s">
        <v>14</v>
      </c>
      <c r="D102" s="51">
        <f>SUM(D95:D101)</f>
        <v>63</v>
      </c>
      <c r="E102" s="52">
        <f>SUM(E95:E101)</f>
        <v>119</v>
      </c>
      <c r="F102" s="52">
        <f>SUM(F95:F101)</f>
        <v>0</v>
      </c>
      <c r="G102" s="145">
        <f>SUM(G95:G101)</f>
        <v>182</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10">SUM(D109:F109)</f>
        <v>0</v>
      </c>
      <c r="H109" s="164"/>
      <c r="I109" s="123"/>
      <c r="J109" s="124"/>
    </row>
    <row r="110" spans="1:16" x14ac:dyDescent="0.25">
      <c r="A110" s="534"/>
      <c r="B110" s="535"/>
      <c r="C110" s="163">
        <v>2016</v>
      </c>
      <c r="D110" s="164"/>
      <c r="E110" s="123"/>
      <c r="F110" s="165"/>
      <c r="G110" s="166">
        <f t="shared" si="10"/>
        <v>0</v>
      </c>
      <c r="H110" s="164"/>
      <c r="I110" s="123"/>
      <c r="J110" s="124"/>
    </row>
    <row r="111" spans="1:16" x14ac:dyDescent="0.25">
      <c r="A111" s="534"/>
      <c r="B111" s="535"/>
      <c r="C111" s="163">
        <v>2017</v>
      </c>
      <c r="D111" s="167"/>
      <c r="E111" s="126"/>
      <c r="F111" s="168"/>
      <c r="G111" s="166">
        <f t="shared" si="10"/>
        <v>0</v>
      </c>
      <c r="H111" s="169"/>
      <c r="I111" s="170"/>
      <c r="J111" s="171"/>
    </row>
    <row r="112" spans="1:16" x14ac:dyDescent="0.25">
      <c r="A112" s="534"/>
      <c r="B112" s="535"/>
      <c r="C112" s="163">
        <v>2018</v>
      </c>
      <c r="D112" s="164">
        <v>0</v>
      </c>
      <c r="E112" s="123">
        <v>0</v>
      </c>
      <c r="F112" s="165">
        <v>0</v>
      </c>
      <c r="G112" s="166">
        <f t="shared" si="10"/>
        <v>0</v>
      </c>
      <c r="H112" s="164">
        <v>0</v>
      </c>
      <c r="I112" s="123">
        <v>0</v>
      </c>
      <c r="J112" s="124">
        <v>0</v>
      </c>
    </row>
    <row r="113" spans="1:19" x14ac:dyDescent="0.25">
      <c r="A113" s="534"/>
      <c r="B113" s="535"/>
      <c r="C113" s="163">
        <v>2019</v>
      </c>
      <c r="D113" s="164"/>
      <c r="E113" s="123"/>
      <c r="F113" s="165"/>
      <c r="G113" s="166">
        <f t="shared" si="10"/>
        <v>0</v>
      </c>
      <c r="H113" s="164"/>
      <c r="I113" s="123"/>
      <c r="J113" s="124"/>
    </row>
    <row r="114" spans="1:19" x14ac:dyDescent="0.25">
      <c r="A114" s="534"/>
      <c r="B114" s="535"/>
      <c r="C114" s="163">
        <v>2020</v>
      </c>
      <c r="D114" s="164"/>
      <c r="E114" s="123"/>
      <c r="F114" s="165"/>
      <c r="G114" s="166">
        <f t="shared" si="10"/>
        <v>0</v>
      </c>
      <c r="H114" s="164"/>
      <c r="I114" s="123"/>
      <c r="J114" s="124"/>
    </row>
    <row r="115" spans="1:19" ht="30.6" customHeight="1" thickBot="1" x14ac:dyDescent="0.3">
      <c r="A115" s="536"/>
      <c r="B115" s="537"/>
      <c r="C115" s="172" t="s">
        <v>14</v>
      </c>
      <c r="D115" s="173">
        <f t="shared" ref="D115:J115" si="11">SUM(D108:D114)</f>
        <v>0</v>
      </c>
      <c r="E115" s="129">
        <f t="shared" si="11"/>
        <v>0</v>
      </c>
      <c r="F115" s="174">
        <f t="shared" si="11"/>
        <v>0</v>
      </c>
      <c r="G115" s="174">
        <f t="shared" si="11"/>
        <v>0</v>
      </c>
      <c r="H115" s="173">
        <f t="shared" si="11"/>
        <v>0</v>
      </c>
      <c r="I115" s="129">
        <f t="shared" si="11"/>
        <v>0</v>
      </c>
      <c r="J115" s="175">
        <f t="shared" si="11"/>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396"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2">D118+F118+H118</f>
        <v>0</v>
      </c>
      <c r="K118" s="187">
        <f t="shared" si="12"/>
        <v>0</v>
      </c>
    </row>
    <row r="119" spans="1:19" x14ac:dyDescent="0.25">
      <c r="A119" s="534"/>
      <c r="B119" s="535"/>
      <c r="C119" s="32">
        <v>2015</v>
      </c>
      <c r="D119" s="122"/>
      <c r="E119" s="123"/>
      <c r="F119" s="123"/>
      <c r="G119" s="123"/>
      <c r="H119" s="123"/>
      <c r="I119" s="124"/>
      <c r="J119" s="187">
        <f t="shared" si="12"/>
        <v>0</v>
      </c>
      <c r="K119" s="187">
        <f t="shared" si="12"/>
        <v>0</v>
      </c>
    </row>
    <row r="120" spans="1:19" x14ac:dyDescent="0.25">
      <c r="A120" s="534"/>
      <c r="B120" s="535"/>
      <c r="C120" s="32">
        <v>2016</v>
      </c>
      <c r="D120" s="122"/>
      <c r="E120" s="123"/>
      <c r="F120" s="123"/>
      <c r="G120" s="123"/>
      <c r="H120" s="123"/>
      <c r="I120" s="124"/>
      <c r="J120" s="187">
        <f t="shared" si="12"/>
        <v>0</v>
      </c>
      <c r="K120" s="187">
        <f t="shared" si="12"/>
        <v>0</v>
      </c>
    </row>
    <row r="121" spans="1:19" x14ac:dyDescent="0.25">
      <c r="A121" s="534"/>
      <c r="B121" s="535"/>
      <c r="C121" s="32">
        <v>2017</v>
      </c>
      <c r="D121" s="125"/>
      <c r="E121" s="126"/>
      <c r="F121" s="126"/>
      <c r="G121" s="126"/>
      <c r="H121" s="126"/>
      <c r="I121" s="127"/>
      <c r="J121" s="187">
        <f t="shared" si="12"/>
        <v>0</v>
      </c>
      <c r="K121" s="187">
        <f t="shared" si="12"/>
        <v>0</v>
      </c>
    </row>
    <row r="122" spans="1:19" x14ac:dyDescent="0.25">
      <c r="A122" s="534"/>
      <c r="B122" s="535"/>
      <c r="C122" s="32">
        <v>2018</v>
      </c>
      <c r="D122" s="122">
        <v>0</v>
      </c>
      <c r="E122" s="123">
        <v>0</v>
      </c>
      <c r="F122" s="123">
        <v>0</v>
      </c>
      <c r="G122" s="123">
        <v>0</v>
      </c>
      <c r="H122" s="123">
        <v>0</v>
      </c>
      <c r="I122" s="124">
        <v>0</v>
      </c>
      <c r="J122" s="187">
        <f t="shared" si="12"/>
        <v>0</v>
      </c>
      <c r="K122" s="187">
        <f t="shared" si="12"/>
        <v>0</v>
      </c>
    </row>
    <row r="123" spans="1:19" x14ac:dyDescent="0.25">
      <c r="A123" s="534"/>
      <c r="B123" s="535"/>
      <c r="C123" s="32">
        <v>2019</v>
      </c>
      <c r="D123" s="122"/>
      <c r="E123" s="123"/>
      <c r="F123" s="123"/>
      <c r="G123" s="123"/>
      <c r="H123" s="123"/>
      <c r="I123" s="124"/>
      <c r="J123" s="187">
        <f t="shared" si="12"/>
        <v>0</v>
      </c>
      <c r="K123" s="187">
        <f t="shared" si="12"/>
        <v>0</v>
      </c>
    </row>
    <row r="124" spans="1:19" x14ac:dyDescent="0.25">
      <c r="A124" s="534"/>
      <c r="B124" s="535"/>
      <c r="C124" s="32">
        <v>2020</v>
      </c>
      <c r="D124" s="122"/>
      <c r="E124" s="123"/>
      <c r="F124" s="123"/>
      <c r="G124" s="123"/>
      <c r="H124" s="123"/>
      <c r="I124" s="124"/>
      <c r="J124" s="187">
        <f t="shared" si="12"/>
        <v>0</v>
      </c>
      <c r="K124" s="187">
        <f t="shared" si="12"/>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245</v>
      </c>
      <c r="B131" s="590"/>
      <c r="C131" s="32">
        <v>2014</v>
      </c>
      <c r="D131" s="33"/>
      <c r="E131" s="34"/>
      <c r="F131" s="34"/>
      <c r="G131" s="203">
        <f t="shared" ref="G131:G137" si="13">SUM(D131:E131)</f>
        <v>0</v>
      </c>
      <c r="H131" s="101"/>
      <c r="I131" s="37"/>
      <c r="J131" s="34"/>
      <c r="K131" s="34"/>
      <c r="L131" s="34"/>
      <c r="M131" s="34"/>
      <c r="N131" s="34"/>
      <c r="O131" s="38"/>
    </row>
    <row r="132" spans="1:15" x14ac:dyDescent="0.25">
      <c r="A132" s="589"/>
      <c r="B132" s="590"/>
      <c r="C132" s="32">
        <v>2015</v>
      </c>
      <c r="D132" s="33"/>
      <c r="E132" s="34"/>
      <c r="F132" s="34"/>
      <c r="G132" s="203">
        <f t="shared" si="13"/>
        <v>0</v>
      </c>
      <c r="H132" s="101"/>
      <c r="I132" s="37"/>
      <c r="J132" s="34"/>
      <c r="K132" s="34"/>
      <c r="L132" s="34"/>
      <c r="M132" s="34"/>
      <c r="N132" s="34"/>
      <c r="O132" s="38"/>
    </row>
    <row r="133" spans="1:15" x14ac:dyDescent="0.25">
      <c r="A133" s="589"/>
      <c r="B133" s="590"/>
      <c r="C133" s="32">
        <v>2016</v>
      </c>
      <c r="D133" s="33"/>
      <c r="E133" s="34"/>
      <c r="F133" s="34"/>
      <c r="G133" s="203">
        <f t="shared" si="13"/>
        <v>0</v>
      </c>
      <c r="H133" s="101"/>
      <c r="I133" s="37"/>
      <c r="J133" s="34"/>
      <c r="K133" s="34"/>
      <c r="L133" s="34"/>
      <c r="M133" s="34"/>
      <c r="N133" s="34"/>
      <c r="O133" s="38"/>
    </row>
    <row r="134" spans="1:15" x14ac:dyDescent="0.25">
      <c r="A134" s="589"/>
      <c r="B134" s="590"/>
      <c r="C134" s="32">
        <v>2017</v>
      </c>
      <c r="D134" s="39"/>
      <c r="E134" s="40"/>
      <c r="F134" s="40"/>
      <c r="G134" s="203">
        <f t="shared" si="13"/>
        <v>0</v>
      </c>
      <c r="H134" s="101"/>
      <c r="I134" s="42"/>
      <c r="J134" s="40"/>
      <c r="K134" s="40"/>
      <c r="L134" s="40"/>
      <c r="M134" s="40"/>
      <c r="N134" s="40"/>
      <c r="O134" s="43"/>
    </row>
    <row r="135" spans="1:15" x14ac:dyDescent="0.25">
      <c r="A135" s="589"/>
      <c r="B135" s="590"/>
      <c r="C135" s="32">
        <v>2018</v>
      </c>
      <c r="D135" s="33">
        <f>5+7+4+1+3+2+16+1</f>
        <v>39</v>
      </c>
      <c r="E135" s="34">
        <v>13</v>
      </c>
      <c r="F135" s="34"/>
      <c r="G135" s="203">
        <f>SUM(D135:F135)</f>
        <v>52</v>
      </c>
      <c r="H135" s="101"/>
      <c r="I135" s="42">
        <f>3+5+18+1</f>
        <v>27</v>
      </c>
      <c r="J135" s="40">
        <f>3+1+1+1</f>
        <v>6</v>
      </c>
      <c r="K135" s="40">
        <f>1</f>
        <v>1</v>
      </c>
      <c r="L135" s="40"/>
      <c r="M135" s="40"/>
      <c r="N135" s="40">
        <f>16+1+1</f>
        <v>18</v>
      </c>
      <c r="O135" s="38"/>
    </row>
    <row r="136" spans="1:15" x14ac:dyDescent="0.25">
      <c r="A136" s="589"/>
      <c r="B136" s="590"/>
      <c r="C136" s="32">
        <v>2019</v>
      </c>
      <c r="D136" s="33"/>
      <c r="E136" s="34"/>
      <c r="F136" s="34"/>
      <c r="G136" s="203">
        <f t="shared" si="13"/>
        <v>0</v>
      </c>
      <c r="H136" s="101"/>
      <c r="I136" s="37"/>
      <c r="J136" s="34"/>
      <c r="K136" s="34"/>
      <c r="L136" s="34"/>
      <c r="M136" s="34"/>
      <c r="N136" s="34"/>
      <c r="O136" s="38"/>
    </row>
    <row r="137" spans="1:15" x14ac:dyDescent="0.25">
      <c r="A137" s="589"/>
      <c r="B137" s="590"/>
      <c r="C137" s="32">
        <v>2020</v>
      </c>
      <c r="D137" s="33"/>
      <c r="E137" s="34"/>
      <c r="F137" s="34"/>
      <c r="G137" s="203">
        <f t="shared" si="13"/>
        <v>0</v>
      </c>
      <c r="H137" s="101"/>
      <c r="I137" s="37"/>
      <c r="J137" s="34"/>
      <c r="K137" s="34"/>
      <c r="L137" s="34"/>
      <c r="M137" s="34"/>
      <c r="N137" s="34"/>
      <c r="O137" s="38"/>
    </row>
    <row r="138" spans="1:15" ht="52.5" customHeight="1" thickBot="1" x14ac:dyDescent="0.3">
      <c r="A138" s="591"/>
      <c r="B138" s="592"/>
      <c r="C138" s="50" t="s">
        <v>14</v>
      </c>
      <c r="D138" s="51">
        <f>SUM(D131:D137)</f>
        <v>39</v>
      </c>
      <c r="E138" s="52">
        <f>SUM(E131:E137)</f>
        <v>13</v>
      </c>
      <c r="F138" s="52">
        <f>SUM(F131:F137)</f>
        <v>0</v>
      </c>
      <c r="G138" s="205">
        <f t="shared" ref="G138:O138" si="14">SUM(G131:G137)</f>
        <v>52</v>
      </c>
      <c r="H138" s="206">
        <f t="shared" si="14"/>
        <v>0</v>
      </c>
      <c r="I138" s="85">
        <f t="shared" si="14"/>
        <v>27</v>
      </c>
      <c r="J138" s="52">
        <f t="shared" si="14"/>
        <v>6</v>
      </c>
      <c r="K138" s="52">
        <f t="shared" si="14"/>
        <v>1</v>
      </c>
      <c r="L138" s="52">
        <f t="shared" si="14"/>
        <v>0</v>
      </c>
      <c r="M138" s="52">
        <f t="shared" si="14"/>
        <v>0</v>
      </c>
      <c r="N138" s="52">
        <f t="shared" si="14"/>
        <v>18</v>
      </c>
      <c r="O138" s="86">
        <f t="shared" si="14"/>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246</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5">SUM(D143:F143)</f>
        <v>0</v>
      </c>
      <c r="H143" s="37"/>
      <c r="I143" s="34"/>
      <c r="J143" s="34"/>
      <c r="K143" s="34"/>
      <c r="L143" s="38"/>
    </row>
    <row r="144" spans="1:15" x14ac:dyDescent="0.25">
      <c r="A144" s="534"/>
      <c r="B144" s="535"/>
      <c r="C144" s="32">
        <v>2016</v>
      </c>
      <c r="D144" s="33"/>
      <c r="E144" s="34"/>
      <c r="F144" s="34"/>
      <c r="G144" s="214">
        <f t="shared" si="15"/>
        <v>0</v>
      </c>
      <c r="H144" s="37"/>
      <c r="I144" s="34"/>
      <c r="J144" s="34"/>
      <c r="K144" s="34"/>
      <c r="L144" s="38"/>
    </row>
    <row r="145" spans="1:15" x14ac:dyDescent="0.25">
      <c r="A145" s="534"/>
      <c r="B145" s="535"/>
      <c r="C145" s="32">
        <v>2017</v>
      </c>
      <c r="D145" s="39"/>
      <c r="E145" s="40"/>
      <c r="F145" s="40"/>
      <c r="G145" s="214">
        <f t="shared" si="15"/>
        <v>0</v>
      </c>
      <c r="H145" s="42"/>
      <c r="I145" s="40"/>
      <c r="J145" s="40"/>
      <c r="K145" s="40"/>
      <c r="L145" s="43"/>
    </row>
    <row r="146" spans="1:15" x14ac:dyDescent="0.25">
      <c r="A146" s="534"/>
      <c r="B146" s="535"/>
      <c r="C146" s="32">
        <v>2018</v>
      </c>
      <c r="D146" s="33">
        <v>1717</v>
      </c>
      <c r="E146" s="34">
        <v>399</v>
      </c>
      <c r="F146" s="34"/>
      <c r="G146" s="214">
        <f t="shared" si="15"/>
        <v>2116</v>
      </c>
      <c r="H146" s="37"/>
      <c r="I146" s="34">
        <f>32+300+54</f>
        <v>386</v>
      </c>
      <c r="J146" s="34"/>
      <c r="K146" s="34"/>
      <c r="L146" s="38">
        <v>1730</v>
      </c>
    </row>
    <row r="147" spans="1:15" x14ac:dyDescent="0.25">
      <c r="A147" s="534"/>
      <c r="B147" s="535"/>
      <c r="C147" s="32">
        <v>2019</v>
      </c>
      <c r="D147" s="33"/>
      <c r="E147" s="34"/>
      <c r="F147" s="34"/>
      <c r="G147" s="214">
        <f t="shared" si="15"/>
        <v>0</v>
      </c>
      <c r="H147" s="37"/>
      <c r="I147" s="34"/>
      <c r="J147" s="34"/>
      <c r="K147" s="34"/>
      <c r="L147" s="38"/>
    </row>
    <row r="148" spans="1:15" x14ac:dyDescent="0.25">
      <c r="A148" s="534"/>
      <c r="B148" s="535"/>
      <c r="C148" s="32">
        <v>2020</v>
      </c>
      <c r="D148" s="33"/>
      <c r="E148" s="34"/>
      <c r="F148" s="34"/>
      <c r="G148" s="214">
        <f t="shared" si="15"/>
        <v>0</v>
      </c>
      <c r="H148" s="37"/>
      <c r="I148" s="34"/>
      <c r="J148" s="34"/>
      <c r="K148" s="34"/>
      <c r="L148" s="38"/>
    </row>
    <row r="149" spans="1:15" ht="36" customHeight="1" thickBot="1" x14ac:dyDescent="0.3">
      <c r="A149" s="536"/>
      <c r="B149" s="537"/>
      <c r="C149" s="50" t="s">
        <v>14</v>
      </c>
      <c r="D149" s="51">
        <f t="shared" ref="D149:L149" si="16">SUM(D142:D148)</f>
        <v>1717</v>
      </c>
      <c r="E149" s="52">
        <f t="shared" si="16"/>
        <v>399</v>
      </c>
      <c r="F149" s="52">
        <f t="shared" si="16"/>
        <v>0</v>
      </c>
      <c r="G149" s="54">
        <f t="shared" si="16"/>
        <v>2116</v>
      </c>
      <c r="H149" s="85">
        <f t="shared" si="16"/>
        <v>0</v>
      </c>
      <c r="I149" s="52">
        <f t="shared" si="16"/>
        <v>386</v>
      </c>
      <c r="J149" s="52">
        <f t="shared" si="16"/>
        <v>0</v>
      </c>
      <c r="K149" s="52">
        <f t="shared" si="16"/>
        <v>0</v>
      </c>
      <c r="L149" s="86">
        <f t="shared" si="16"/>
        <v>1730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v>0</v>
      </c>
      <c r="E159" s="34">
        <v>0</v>
      </c>
      <c r="F159" s="34">
        <v>0</v>
      </c>
      <c r="G159" s="38">
        <v>0</v>
      </c>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31.5" customHeight="1" x14ac:dyDescent="0.25">
      <c r="A166" s="229" t="s">
        <v>109</v>
      </c>
      <c r="B166" s="602" t="s">
        <v>247</v>
      </c>
      <c r="C166" s="230">
        <f>SUM(C167:C169)</f>
        <v>0</v>
      </c>
      <c r="D166" s="230">
        <f t="shared" ref="D166:I166" si="17">SUM(D167:D169)</f>
        <v>0</v>
      </c>
      <c r="E166" s="230">
        <f t="shared" si="17"/>
        <v>0</v>
      </c>
      <c r="F166" s="230">
        <f t="shared" si="17"/>
        <v>0</v>
      </c>
      <c r="G166" s="372">
        <f t="shared" si="17"/>
        <v>1117716.1600000001</v>
      </c>
      <c r="H166" s="230">
        <f t="shared" si="17"/>
        <v>0</v>
      </c>
      <c r="I166" s="231">
        <f t="shared" si="17"/>
        <v>0</v>
      </c>
    </row>
    <row r="167" spans="1:9" ht="15.75" x14ac:dyDescent="0.25">
      <c r="A167" s="232" t="s">
        <v>111</v>
      </c>
      <c r="B167" s="603"/>
      <c r="C167" s="78"/>
      <c r="D167" s="78"/>
      <c r="E167" s="78"/>
      <c r="F167" s="82"/>
      <c r="G167" s="289">
        <f>1117716.16-G168-3345.5-31266.6</f>
        <v>1002222.0599999999</v>
      </c>
      <c r="H167" s="78"/>
      <c r="I167" s="233"/>
    </row>
    <row r="168" spans="1:9" ht="15.75" x14ac:dyDescent="0.25">
      <c r="A168" s="232" t="s">
        <v>112</v>
      </c>
      <c r="B168" s="603"/>
      <c r="C168" s="78"/>
      <c r="D168" s="78"/>
      <c r="E168" s="78"/>
      <c r="F168" s="82"/>
      <c r="G168" s="289">
        <v>80882</v>
      </c>
      <c r="H168" s="78"/>
      <c r="I168" s="233"/>
    </row>
    <row r="169" spans="1:9" ht="15.75" x14ac:dyDescent="0.25">
      <c r="A169" s="232" t="s">
        <v>113</v>
      </c>
      <c r="B169" s="603"/>
      <c r="C169" s="78"/>
      <c r="D169" s="78"/>
      <c r="E169" s="78"/>
      <c r="F169" s="82"/>
      <c r="G169" s="289">
        <f>3345.5+31266.6</f>
        <v>34612.1</v>
      </c>
      <c r="H169" s="78"/>
      <c r="I169" s="233"/>
    </row>
    <row r="170" spans="1:9" ht="31.5" x14ac:dyDescent="0.25">
      <c r="A170" s="234" t="s">
        <v>114</v>
      </c>
      <c r="B170" s="603"/>
      <c r="C170" s="78"/>
      <c r="D170" s="78"/>
      <c r="E170" s="78"/>
      <c r="F170" s="82"/>
      <c r="G170" s="289">
        <f xml:space="preserve"> 417664.47</f>
        <v>417664.47</v>
      </c>
      <c r="H170" s="78"/>
      <c r="I170" s="233"/>
    </row>
    <row r="171" spans="1:9" ht="16.5" thickBot="1" x14ac:dyDescent="0.3">
      <c r="A171" s="235" t="s">
        <v>115</v>
      </c>
      <c r="B171" s="604"/>
      <c r="C171" s="236">
        <f t="shared" ref="C171:I171" si="18">C166+C170</f>
        <v>0</v>
      </c>
      <c r="D171" s="236">
        <f t="shared" si="18"/>
        <v>0</v>
      </c>
      <c r="E171" s="236">
        <f t="shared" si="18"/>
        <v>0</v>
      </c>
      <c r="F171" s="236">
        <f t="shared" si="18"/>
        <v>0</v>
      </c>
      <c r="G171" s="290">
        <f t="shared" si="18"/>
        <v>1535380.6300000001</v>
      </c>
      <c r="H171" s="236">
        <f t="shared" si="18"/>
        <v>0</v>
      </c>
      <c r="I171" s="86">
        <f t="shared" si="18"/>
        <v>0</v>
      </c>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40"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155</v>
      </c>
    </row>
    <row r="5" spans="1:17" s="2" customFormat="1" ht="15.75" x14ac:dyDescent="0.25">
      <c r="A5" s="239" t="s">
        <v>118</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156</v>
      </c>
      <c r="B12" s="535"/>
      <c r="C12" s="32">
        <v>2014</v>
      </c>
      <c r="D12" s="33"/>
      <c r="E12" s="34"/>
      <c r="F12" s="34"/>
      <c r="G12" s="35"/>
      <c r="H12" s="36">
        <f>SUM(D12:G12)</f>
        <v>0</v>
      </c>
      <c r="I12" s="37"/>
      <c r="J12" s="34"/>
      <c r="K12" s="34"/>
      <c r="L12" s="34"/>
      <c r="M12" s="34"/>
      <c r="N12" s="34"/>
      <c r="O12" s="38"/>
      <c r="P12" s="11"/>
      <c r="Q12" s="11"/>
    </row>
    <row r="13" spans="1:17" x14ac:dyDescent="0.25">
      <c r="A13" s="534"/>
      <c r="B13" s="535"/>
      <c r="C13" s="32">
        <v>2015</v>
      </c>
      <c r="D13" s="33"/>
      <c r="E13" s="34"/>
      <c r="F13" s="34"/>
      <c r="G13" s="35"/>
      <c r="H13" s="36">
        <f t="shared" ref="H13:H18" si="0">SUM(D13:G13)</f>
        <v>0</v>
      </c>
      <c r="I13" s="37"/>
      <c r="J13" s="34"/>
      <c r="K13" s="34"/>
      <c r="L13" s="34"/>
      <c r="M13" s="34"/>
      <c r="N13" s="34"/>
      <c r="O13" s="38"/>
      <c r="P13" s="11"/>
      <c r="Q13" s="11"/>
    </row>
    <row r="14" spans="1:17" x14ac:dyDescent="0.25">
      <c r="A14" s="534"/>
      <c r="B14" s="535"/>
      <c r="C14" s="32">
        <v>2016</v>
      </c>
      <c r="D14" s="33"/>
      <c r="E14" s="34"/>
      <c r="F14" s="34"/>
      <c r="G14" s="35"/>
      <c r="H14" s="36">
        <f t="shared" si="0"/>
        <v>0</v>
      </c>
      <c r="I14" s="37"/>
      <c r="J14" s="34"/>
      <c r="K14" s="34"/>
      <c r="L14" s="34"/>
      <c r="M14" s="34"/>
      <c r="N14" s="34"/>
      <c r="O14" s="38"/>
      <c r="P14" s="11"/>
      <c r="Q14" s="11"/>
    </row>
    <row r="15" spans="1:17" x14ac:dyDescent="0.25">
      <c r="A15" s="534"/>
      <c r="B15" s="535"/>
      <c r="C15" s="32">
        <v>2017</v>
      </c>
      <c r="D15" s="39"/>
      <c r="E15" s="40"/>
      <c r="F15" s="40"/>
      <c r="G15" s="41"/>
      <c r="H15" s="36">
        <f t="shared" si="0"/>
        <v>0</v>
      </c>
      <c r="I15" s="42"/>
      <c r="J15" s="40"/>
      <c r="K15" s="40"/>
      <c r="L15" s="40"/>
      <c r="M15" s="40"/>
      <c r="N15" s="40"/>
      <c r="O15" s="43"/>
      <c r="P15" s="11"/>
      <c r="Q15" s="11"/>
    </row>
    <row r="16" spans="1:17" x14ac:dyDescent="0.25">
      <c r="A16" s="534"/>
      <c r="B16" s="535"/>
      <c r="C16" s="32">
        <v>2018</v>
      </c>
      <c r="D16" s="33">
        <f>40+8</f>
        <v>48</v>
      </c>
      <c r="E16" s="34"/>
      <c r="F16" s="34"/>
      <c r="G16" s="35">
        <v>16</v>
      </c>
      <c r="H16" s="36">
        <f t="shared" si="0"/>
        <v>64</v>
      </c>
      <c r="I16" s="37">
        <v>5</v>
      </c>
      <c r="J16" s="34">
        <v>14</v>
      </c>
      <c r="K16" s="34">
        <v>13</v>
      </c>
      <c r="L16" s="34">
        <v>3</v>
      </c>
      <c r="M16" s="34">
        <v>1</v>
      </c>
      <c r="N16" s="34">
        <v>20</v>
      </c>
      <c r="O16" s="38">
        <v>8</v>
      </c>
      <c r="P16" s="11"/>
      <c r="Q16" s="11"/>
    </row>
    <row r="17" spans="1:17" x14ac:dyDescent="0.25">
      <c r="A17" s="534"/>
      <c r="B17" s="535"/>
      <c r="C17" s="32">
        <v>2019</v>
      </c>
      <c r="D17" s="33"/>
      <c r="E17" s="34"/>
      <c r="F17" s="34"/>
      <c r="G17" s="35"/>
      <c r="H17" s="36">
        <f t="shared" si="0"/>
        <v>0</v>
      </c>
      <c r="I17" s="37"/>
      <c r="J17" s="34"/>
      <c r="K17" s="34"/>
      <c r="L17" s="34"/>
      <c r="M17" s="34"/>
      <c r="N17" s="34"/>
      <c r="O17" s="38"/>
      <c r="P17" s="11"/>
      <c r="Q17" s="11"/>
    </row>
    <row r="18" spans="1:17" x14ac:dyDescent="0.25">
      <c r="A18" s="534"/>
      <c r="B18" s="535"/>
      <c r="C18" s="32">
        <v>2020</v>
      </c>
      <c r="D18" s="33"/>
      <c r="E18" s="34"/>
      <c r="F18" s="34"/>
      <c r="G18" s="35"/>
      <c r="H18" s="36">
        <f t="shared" si="0"/>
        <v>0</v>
      </c>
      <c r="I18" s="37"/>
      <c r="J18" s="34"/>
      <c r="K18" s="34"/>
      <c r="L18" s="34"/>
      <c r="M18" s="34"/>
      <c r="N18" s="34"/>
      <c r="O18" s="38"/>
      <c r="P18" s="11"/>
      <c r="Q18" s="11"/>
    </row>
    <row r="19" spans="1:17" ht="77.25" customHeight="1" thickBot="1" x14ac:dyDescent="0.3">
      <c r="A19" s="536"/>
      <c r="B19" s="537"/>
      <c r="C19" s="50" t="s">
        <v>14</v>
      </c>
      <c r="D19" s="51">
        <f>SUM(D12:D18)</f>
        <v>48</v>
      </c>
      <c r="E19" s="52">
        <f>SUM(E12:E18)</f>
        <v>0</v>
      </c>
      <c r="F19" s="52">
        <f>SUM(F12:F18)</f>
        <v>0</v>
      </c>
      <c r="G19" s="53"/>
      <c r="H19" s="54">
        <f>SUM(D19:F19)</f>
        <v>48</v>
      </c>
      <c r="I19" s="85">
        <f>SUM(I12:I18)</f>
        <v>5</v>
      </c>
      <c r="J19" s="52"/>
      <c r="K19" s="52">
        <f>SUM(K12:K18)</f>
        <v>13</v>
      </c>
      <c r="L19" s="52">
        <f>SUM(L12:L18)</f>
        <v>3</v>
      </c>
      <c r="M19" s="52">
        <f>SUM(M12:M18)</f>
        <v>1</v>
      </c>
      <c r="N19" s="52">
        <f>SUM(N12:N18)</f>
        <v>20</v>
      </c>
      <c r="O19" s="86">
        <f>SUM(O12:O18)</f>
        <v>8</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251" t="s">
        <v>23</v>
      </c>
      <c r="C22" s="533"/>
      <c r="D22" s="62" t="s">
        <v>10</v>
      </c>
      <c r="E22" s="63" t="s">
        <v>11</v>
      </c>
      <c r="F22" s="63" t="s">
        <v>12</v>
      </c>
      <c r="G22" s="64" t="s">
        <v>13</v>
      </c>
      <c r="H22" s="25" t="s">
        <v>14</v>
      </c>
    </row>
    <row r="23" spans="1:17" ht="15" customHeight="1" x14ac:dyDescent="0.25">
      <c r="A23" s="534" t="s">
        <v>157</v>
      </c>
      <c r="B23" s="535"/>
      <c r="C23" s="32">
        <v>2014</v>
      </c>
      <c r="D23" s="33"/>
      <c r="E23" s="34"/>
      <c r="F23" s="34"/>
      <c r="G23" s="35"/>
      <c r="H23" s="36">
        <f>SUM(D23:G23)</f>
        <v>0</v>
      </c>
    </row>
    <row r="24" spans="1:17" x14ac:dyDescent="0.25">
      <c r="A24" s="534"/>
      <c r="B24" s="535"/>
      <c r="C24" s="32">
        <v>2015</v>
      </c>
      <c r="D24" s="33"/>
      <c r="E24" s="34"/>
      <c r="F24" s="34"/>
      <c r="G24" s="35"/>
      <c r="H24" s="36">
        <f t="shared" ref="H24:H29" si="1">SUM(D24:G24)</f>
        <v>0</v>
      </c>
    </row>
    <row r="25" spans="1:17" x14ac:dyDescent="0.25">
      <c r="A25" s="534"/>
      <c r="B25" s="535"/>
      <c r="C25" s="32">
        <v>2016</v>
      </c>
      <c r="D25" s="33"/>
      <c r="E25" s="34"/>
      <c r="F25" s="34"/>
      <c r="G25" s="35"/>
      <c r="H25" s="36">
        <f t="shared" si="1"/>
        <v>0</v>
      </c>
    </row>
    <row r="26" spans="1:17" x14ac:dyDescent="0.25">
      <c r="A26" s="534"/>
      <c r="B26" s="535"/>
      <c r="C26" s="32">
        <v>2017</v>
      </c>
      <c r="D26" s="39"/>
      <c r="E26" s="40"/>
      <c r="F26" s="40"/>
      <c r="G26" s="41"/>
      <c r="H26" s="36">
        <f t="shared" si="1"/>
        <v>0</v>
      </c>
    </row>
    <row r="27" spans="1:17" x14ac:dyDescent="0.25">
      <c r="A27" s="534"/>
      <c r="B27" s="535"/>
      <c r="C27" s="32">
        <v>2018</v>
      </c>
      <c r="D27" s="33">
        <f>2772+76</f>
        <v>2848</v>
      </c>
      <c r="E27" s="34"/>
      <c r="F27" s="34"/>
      <c r="G27" s="35">
        <v>171000</v>
      </c>
      <c r="H27" s="36">
        <f t="shared" si="1"/>
        <v>173848</v>
      </c>
    </row>
    <row r="28" spans="1:17" x14ac:dyDescent="0.25">
      <c r="A28" s="534"/>
      <c r="B28" s="535"/>
      <c r="C28" s="32">
        <v>2019</v>
      </c>
      <c r="D28" s="33"/>
      <c r="E28" s="34"/>
      <c r="F28" s="34"/>
      <c r="G28" s="35"/>
      <c r="H28" s="36">
        <f t="shared" si="1"/>
        <v>0</v>
      </c>
    </row>
    <row r="29" spans="1:17" x14ac:dyDescent="0.25">
      <c r="A29" s="534"/>
      <c r="B29" s="535"/>
      <c r="C29" s="32">
        <v>2020</v>
      </c>
      <c r="D29" s="33"/>
      <c r="E29" s="34"/>
      <c r="F29" s="34"/>
      <c r="G29" s="35"/>
      <c r="H29" s="36">
        <f t="shared" si="1"/>
        <v>0</v>
      </c>
    </row>
    <row r="30" spans="1:17" ht="24" customHeight="1" thickBot="1" x14ac:dyDescent="0.3">
      <c r="A30" s="536"/>
      <c r="B30" s="537"/>
      <c r="C30" s="50" t="s">
        <v>14</v>
      </c>
      <c r="D30" s="51">
        <f>SUM(D23:D29)</f>
        <v>2848</v>
      </c>
      <c r="E30" s="52">
        <f>SUM(E23:E29)</f>
        <v>0</v>
      </c>
      <c r="F30" s="52">
        <f>SUM(F23:F29)</f>
        <v>0</v>
      </c>
      <c r="G30" s="52">
        <f>SUM(G23:G29)</f>
        <v>171000</v>
      </c>
      <c r="H30" s="54">
        <f t="shared" ref="H30" si="2">SUM(D30:F30)</f>
        <v>2848</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158</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32">
        <v>2018</v>
      </c>
      <c r="D40" s="78">
        <f>10+12+9</f>
        <v>31</v>
      </c>
      <c r="E40" s="37"/>
      <c r="F40" s="34">
        <v>3</v>
      </c>
      <c r="G40" s="34">
        <v>4</v>
      </c>
      <c r="H40" s="34"/>
      <c r="I40" s="34"/>
      <c r="J40" s="34">
        <v>15</v>
      </c>
      <c r="K40" s="293">
        <v>9</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35.25" customHeight="1" thickBot="1" x14ac:dyDescent="0.3">
      <c r="A43" s="542"/>
      <c r="B43" s="543"/>
      <c r="C43" s="50" t="s">
        <v>14</v>
      </c>
      <c r="D43" s="84">
        <f>SUM(D36:D42)</f>
        <v>31</v>
      </c>
      <c r="E43" s="85">
        <f t="shared" ref="E43:J43" si="3">SUM(E36:E42)</f>
        <v>0</v>
      </c>
      <c r="F43" s="52">
        <f t="shared" si="3"/>
        <v>3</v>
      </c>
      <c r="G43" s="52">
        <f t="shared" si="3"/>
        <v>4</v>
      </c>
      <c r="H43" s="52">
        <f t="shared" si="3"/>
        <v>0</v>
      </c>
      <c r="I43" s="52">
        <f t="shared" si="3"/>
        <v>0</v>
      </c>
      <c r="J43" s="52">
        <f t="shared" si="3"/>
        <v>15</v>
      </c>
      <c r="K43" s="86">
        <f>SUM(K36:K42)</f>
        <v>9</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534" t="s">
        <v>35</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32">
        <v>2018</v>
      </c>
      <c r="D54" s="101"/>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4">SUM(D50:D56)</f>
        <v>0</v>
      </c>
      <c r="E57" s="85">
        <f t="shared" si="4"/>
        <v>0</v>
      </c>
      <c r="F57" s="52">
        <f t="shared" si="4"/>
        <v>0</v>
      </c>
      <c r="G57" s="52">
        <f t="shared" si="4"/>
        <v>0</v>
      </c>
      <c r="H57" s="52">
        <f t="shared" si="4"/>
        <v>0</v>
      </c>
      <c r="I57" s="52">
        <f t="shared" si="4"/>
        <v>0</v>
      </c>
      <c r="J57" s="52">
        <f>SUM(J50:J56)</f>
        <v>0</v>
      </c>
      <c r="K57" s="86">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156</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32">
        <v>2018</v>
      </c>
      <c r="D67" s="33">
        <v>1</v>
      </c>
      <c r="E67" s="34">
        <v>8</v>
      </c>
      <c r="F67" s="122"/>
      <c r="G67" s="123"/>
      <c r="H67" s="123"/>
      <c r="I67" s="123"/>
      <c r="J67" s="123"/>
      <c r="K67" s="123"/>
      <c r="L67" s="124">
        <v>8</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51">
        <f t="shared" ref="D70:K70" si="5">SUM(D63:D69)</f>
        <v>1</v>
      </c>
      <c r="E70" s="52">
        <f t="shared" si="5"/>
        <v>8</v>
      </c>
      <c r="F70" s="128">
        <f t="shared" si="5"/>
        <v>0</v>
      </c>
      <c r="G70" s="129">
        <f t="shared" si="5"/>
        <v>0</v>
      </c>
      <c r="H70" s="129">
        <f t="shared" si="5"/>
        <v>0</v>
      </c>
      <c r="I70" s="129">
        <f t="shared" si="5"/>
        <v>0</v>
      </c>
      <c r="J70" s="129">
        <f t="shared" si="5"/>
        <v>0</v>
      </c>
      <c r="K70" s="129">
        <f t="shared" si="5"/>
        <v>0</v>
      </c>
      <c r="L70" s="130">
        <f>SUM(L63:L69)</f>
        <v>8</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534" t="s">
        <v>35</v>
      </c>
      <c r="B74" s="535"/>
      <c r="C74" s="32">
        <v>2014</v>
      </c>
      <c r="D74" s="34"/>
      <c r="E74" s="122"/>
      <c r="F74" s="123"/>
      <c r="G74" s="123"/>
      <c r="H74" s="123"/>
      <c r="I74" s="123"/>
      <c r="J74" s="123"/>
      <c r="K74" s="124"/>
    </row>
    <row r="75" spans="1:15" x14ac:dyDescent="0.25">
      <c r="A75" s="534"/>
      <c r="B75" s="535"/>
      <c r="C75" s="32">
        <v>2015</v>
      </c>
      <c r="D75" s="34"/>
      <c r="E75" s="122"/>
      <c r="F75" s="123"/>
      <c r="G75" s="123"/>
      <c r="H75" s="123"/>
      <c r="I75" s="123"/>
      <c r="J75" s="123"/>
      <c r="K75" s="124"/>
    </row>
    <row r="76" spans="1:15" x14ac:dyDescent="0.25">
      <c r="A76" s="534"/>
      <c r="B76" s="535"/>
      <c r="C76" s="32">
        <v>2016</v>
      </c>
      <c r="D76" s="34"/>
      <c r="E76" s="122"/>
      <c r="F76" s="123"/>
      <c r="G76" s="123"/>
      <c r="H76" s="123"/>
      <c r="I76" s="123"/>
      <c r="J76" s="123"/>
      <c r="K76" s="124"/>
    </row>
    <row r="77" spans="1:15" x14ac:dyDescent="0.25">
      <c r="A77" s="534"/>
      <c r="B77" s="535"/>
      <c r="C77" s="32">
        <v>2017</v>
      </c>
      <c r="D77" s="40"/>
      <c r="E77" s="125"/>
      <c r="F77" s="126"/>
      <c r="G77" s="126"/>
      <c r="H77" s="126"/>
      <c r="I77" s="126"/>
      <c r="J77" s="126"/>
      <c r="K77" s="127"/>
    </row>
    <row r="78" spans="1:15" x14ac:dyDescent="0.25">
      <c r="A78" s="534"/>
      <c r="B78" s="535"/>
      <c r="C78" s="32">
        <v>2018</v>
      </c>
      <c r="D78" s="34"/>
      <c r="E78" s="122"/>
      <c r="F78" s="123"/>
      <c r="G78" s="123"/>
      <c r="H78" s="123"/>
      <c r="I78" s="123"/>
      <c r="J78" s="123"/>
      <c r="K78" s="124"/>
    </row>
    <row r="79" spans="1:15" x14ac:dyDescent="0.25">
      <c r="A79" s="534"/>
      <c r="B79" s="535"/>
      <c r="C79" s="32">
        <v>2019</v>
      </c>
      <c r="D79" s="34"/>
      <c r="E79" s="122"/>
      <c r="F79" s="123"/>
      <c r="G79" s="123"/>
      <c r="H79" s="123"/>
      <c r="I79" s="123"/>
      <c r="J79" s="123"/>
      <c r="K79" s="124"/>
    </row>
    <row r="80" spans="1:15" x14ac:dyDescent="0.25">
      <c r="A80" s="534"/>
      <c r="B80" s="535"/>
      <c r="C80" s="32">
        <v>2020</v>
      </c>
      <c r="D80" s="34"/>
      <c r="E80" s="122"/>
      <c r="F80" s="123"/>
      <c r="G80" s="123"/>
      <c r="H80" s="123"/>
      <c r="I80" s="123"/>
      <c r="J80" s="123"/>
      <c r="K80" s="124"/>
    </row>
    <row r="81" spans="1:17" ht="42" customHeight="1" thickBot="1" x14ac:dyDescent="0.3">
      <c r="A81" s="536"/>
      <c r="B81" s="537"/>
      <c r="C81" s="50" t="s">
        <v>14</v>
      </c>
      <c r="D81" s="52">
        <f t="shared" ref="D81:J81" si="6">SUM(D74:D80)</f>
        <v>0</v>
      </c>
      <c r="E81" s="128">
        <f t="shared" si="6"/>
        <v>0</v>
      </c>
      <c r="F81" s="129">
        <f t="shared" si="6"/>
        <v>0</v>
      </c>
      <c r="G81" s="129">
        <f t="shared" si="6"/>
        <v>0</v>
      </c>
      <c r="H81" s="129">
        <f t="shared" si="6"/>
        <v>0</v>
      </c>
      <c r="I81" s="129">
        <f t="shared" si="6"/>
        <v>0</v>
      </c>
      <c r="J81" s="129">
        <f t="shared" si="6"/>
        <v>0</v>
      </c>
      <c r="K81" s="130">
        <f>SUM(K74:K80)</f>
        <v>0</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534" t="s">
        <v>35</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32">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52">
        <f t="shared" ref="D92:J92" si="7">SUM(D85:D91)</f>
        <v>0</v>
      </c>
      <c r="E92" s="128">
        <f t="shared" si="7"/>
        <v>0</v>
      </c>
      <c r="F92" s="129">
        <f t="shared" si="7"/>
        <v>0</v>
      </c>
      <c r="G92" s="129">
        <f t="shared" si="7"/>
        <v>0</v>
      </c>
      <c r="H92" s="129">
        <f t="shared" si="7"/>
        <v>0</v>
      </c>
      <c r="I92" s="129">
        <f t="shared" si="7"/>
        <v>0</v>
      </c>
      <c r="J92" s="129">
        <f t="shared" si="7"/>
        <v>0</v>
      </c>
      <c r="K92" s="130">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252" t="s">
        <v>6</v>
      </c>
      <c r="D94" s="139" t="s">
        <v>51</v>
      </c>
      <c r="E94" s="140"/>
      <c r="F94" s="140"/>
      <c r="G94" s="141"/>
      <c r="H94" s="11"/>
      <c r="I94" s="11"/>
      <c r="J94" s="11"/>
      <c r="K94" s="11"/>
      <c r="O94" s="9"/>
      <c r="P94" s="9"/>
    </row>
    <row r="95" spans="1:17" s="9" customFormat="1" ht="64.5" x14ac:dyDescent="0.25">
      <c r="A95" s="559"/>
      <c r="B95" s="561"/>
      <c r="C95" s="253"/>
      <c r="D95" s="115" t="s">
        <v>52</v>
      </c>
      <c r="E95" s="116" t="s">
        <v>53</v>
      </c>
      <c r="F95" s="116" t="s">
        <v>54</v>
      </c>
      <c r="G95" s="143" t="s">
        <v>14</v>
      </c>
      <c r="H95" s="11"/>
      <c r="I95" s="11"/>
      <c r="J95" s="11"/>
      <c r="K95" s="11"/>
      <c r="L95" s="11"/>
      <c r="M95" s="11"/>
      <c r="N95" s="11"/>
    </row>
    <row r="96" spans="1:17" s="11" customFormat="1" ht="26.25" customHeight="1" x14ac:dyDescent="0.25">
      <c r="A96" s="534" t="s">
        <v>122</v>
      </c>
      <c r="B96" s="535"/>
      <c r="C96" s="32">
        <v>2015</v>
      </c>
      <c r="D96" s="33"/>
      <c r="E96" s="34"/>
      <c r="F96" s="34"/>
      <c r="G96" s="144">
        <f t="shared" ref="G96:G101" si="8">SUM(D96:F96)</f>
        <v>0</v>
      </c>
      <c r="H96"/>
      <c r="I96"/>
      <c r="J96"/>
      <c r="K96"/>
    </row>
    <row r="97" spans="1:16" s="11" customFormat="1" ht="16.5" customHeight="1" x14ac:dyDescent="0.25">
      <c r="A97" s="534"/>
      <c r="B97" s="535"/>
      <c r="C97" s="32">
        <v>2016</v>
      </c>
      <c r="D97" s="33"/>
      <c r="E97" s="34"/>
      <c r="F97" s="34"/>
      <c r="G97" s="144">
        <f t="shared" si="8"/>
        <v>0</v>
      </c>
      <c r="H97"/>
      <c r="I97"/>
      <c r="J97"/>
      <c r="K97"/>
      <c r="L97"/>
      <c r="M97"/>
      <c r="N97"/>
    </row>
    <row r="98" spans="1:16" x14ac:dyDescent="0.25">
      <c r="A98" s="534"/>
      <c r="B98" s="535"/>
      <c r="C98" s="32">
        <v>2017</v>
      </c>
      <c r="D98" s="39"/>
      <c r="E98" s="40"/>
      <c r="F98" s="40"/>
      <c r="G98" s="144">
        <f t="shared" si="8"/>
        <v>0</v>
      </c>
    </row>
    <row r="99" spans="1:16" x14ac:dyDescent="0.25">
      <c r="A99" s="534"/>
      <c r="B99" s="535"/>
      <c r="C99" s="32">
        <v>2018</v>
      </c>
      <c r="D99" s="33">
        <v>76</v>
      </c>
      <c r="E99" s="34"/>
      <c r="F99" s="34"/>
      <c r="G99" s="144">
        <f t="shared" si="8"/>
        <v>76</v>
      </c>
    </row>
    <row r="100" spans="1:16" x14ac:dyDescent="0.25">
      <c r="A100" s="534"/>
      <c r="B100" s="535"/>
      <c r="C100" s="32">
        <v>2019</v>
      </c>
      <c r="D100" s="33"/>
      <c r="E100" s="34"/>
      <c r="F100" s="34"/>
      <c r="G100" s="144">
        <f t="shared" si="8"/>
        <v>0</v>
      </c>
    </row>
    <row r="101" spans="1:16" x14ac:dyDescent="0.25">
      <c r="A101" s="534"/>
      <c r="B101" s="535"/>
      <c r="C101" s="32">
        <v>2020</v>
      </c>
      <c r="D101" s="33"/>
      <c r="E101" s="34"/>
      <c r="F101" s="34"/>
      <c r="G101" s="144">
        <f t="shared" si="8"/>
        <v>0</v>
      </c>
    </row>
    <row r="102" spans="1:16" ht="15.75" thickBot="1" x14ac:dyDescent="0.3">
      <c r="A102" s="536"/>
      <c r="B102" s="537"/>
      <c r="C102" s="50" t="s">
        <v>14</v>
      </c>
      <c r="D102" s="51">
        <f>SUM(D95:D101)</f>
        <v>76</v>
      </c>
      <c r="E102" s="52">
        <f>SUM(E95:E101)</f>
        <v>0</v>
      </c>
      <c r="F102" s="52">
        <f>SUM(F95:F101)</f>
        <v>0</v>
      </c>
      <c r="G102" s="145">
        <f>SUM(G95:G101)</f>
        <v>76</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534" t="s">
        <v>35</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9">SUM(D109:F109)</f>
        <v>0</v>
      </c>
      <c r="H109" s="164"/>
      <c r="I109" s="123"/>
      <c r="J109" s="124"/>
    </row>
    <row r="110" spans="1:16" x14ac:dyDescent="0.25">
      <c r="A110" s="534"/>
      <c r="B110" s="535"/>
      <c r="C110" s="163">
        <v>2016</v>
      </c>
      <c r="D110" s="164"/>
      <c r="E110" s="123"/>
      <c r="F110" s="165"/>
      <c r="G110" s="166">
        <f t="shared" si="9"/>
        <v>0</v>
      </c>
      <c r="H110" s="164"/>
      <c r="I110" s="123"/>
      <c r="J110" s="124"/>
    </row>
    <row r="111" spans="1:16" x14ac:dyDescent="0.25">
      <c r="A111" s="534"/>
      <c r="B111" s="535"/>
      <c r="C111" s="163">
        <v>2017</v>
      </c>
      <c r="D111" s="167"/>
      <c r="E111" s="126"/>
      <c r="F111" s="168"/>
      <c r="G111" s="166">
        <f t="shared" si="9"/>
        <v>0</v>
      </c>
      <c r="H111" s="169"/>
      <c r="I111" s="170"/>
      <c r="J111" s="171"/>
    </row>
    <row r="112" spans="1:16" x14ac:dyDescent="0.25">
      <c r="A112" s="534"/>
      <c r="B112" s="535"/>
      <c r="C112" s="163">
        <v>2018</v>
      </c>
      <c r="D112" s="164"/>
      <c r="E112" s="123"/>
      <c r="F112" s="165"/>
      <c r="G112" s="166">
        <f t="shared" si="9"/>
        <v>0</v>
      </c>
      <c r="H112" s="164"/>
      <c r="I112" s="123"/>
      <c r="J112" s="124"/>
    </row>
    <row r="113" spans="1:19" x14ac:dyDescent="0.25">
      <c r="A113" s="534"/>
      <c r="B113" s="535"/>
      <c r="C113" s="163">
        <v>2019</v>
      </c>
      <c r="D113" s="164"/>
      <c r="E113" s="123"/>
      <c r="F113" s="165"/>
      <c r="G113" s="166">
        <f t="shared" si="9"/>
        <v>0</v>
      </c>
      <c r="H113" s="164"/>
      <c r="I113" s="123"/>
      <c r="J113" s="124"/>
    </row>
    <row r="114" spans="1:19" x14ac:dyDescent="0.25">
      <c r="A114" s="534"/>
      <c r="B114" s="535"/>
      <c r="C114" s="163">
        <v>2020</v>
      </c>
      <c r="D114" s="164"/>
      <c r="E114" s="123"/>
      <c r="F114" s="165"/>
      <c r="G114" s="166">
        <f t="shared" si="9"/>
        <v>0</v>
      </c>
      <c r="H114" s="164"/>
      <c r="I114" s="123"/>
      <c r="J114" s="124"/>
    </row>
    <row r="115" spans="1:19" ht="30.6" customHeight="1" thickBot="1" x14ac:dyDescent="0.3">
      <c r="A115" s="536"/>
      <c r="B115" s="537"/>
      <c r="C115" s="172" t="s">
        <v>14</v>
      </c>
      <c r="D115" s="173">
        <f t="shared" ref="D115:J115" si="10">SUM(D108:D114)</f>
        <v>0</v>
      </c>
      <c r="E115" s="129">
        <f t="shared" si="10"/>
        <v>0</v>
      </c>
      <c r="F115" s="174">
        <f t="shared" si="10"/>
        <v>0</v>
      </c>
      <c r="G115" s="174">
        <f t="shared" si="10"/>
        <v>0</v>
      </c>
      <c r="H115" s="173">
        <f t="shared" si="10"/>
        <v>0</v>
      </c>
      <c r="I115" s="129">
        <f t="shared" si="10"/>
        <v>0</v>
      </c>
      <c r="J115" s="175">
        <f t="shared" si="10"/>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254" t="s">
        <v>38</v>
      </c>
      <c r="C117" s="182" t="s">
        <v>6</v>
      </c>
      <c r="D117" s="183" t="s">
        <v>68</v>
      </c>
      <c r="E117" s="184" t="s">
        <v>69</v>
      </c>
      <c r="F117" s="184" t="s">
        <v>70</v>
      </c>
      <c r="G117" s="184" t="s">
        <v>71</v>
      </c>
      <c r="H117" s="184" t="s">
        <v>72</v>
      </c>
      <c r="I117" s="185" t="s">
        <v>73</v>
      </c>
      <c r="J117" s="186" t="s">
        <v>74</v>
      </c>
      <c r="K117" s="186" t="s">
        <v>75</v>
      </c>
    </row>
    <row r="118" spans="1:19" x14ac:dyDescent="0.25">
      <c r="A118" s="534" t="s">
        <v>35</v>
      </c>
      <c r="B118" s="535"/>
      <c r="C118" s="32">
        <v>2014</v>
      </c>
      <c r="D118" s="122"/>
      <c r="E118" s="123"/>
      <c r="F118" s="123"/>
      <c r="G118" s="123"/>
      <c r="H118" s="123"/>
      <c r="I118" s="124"/>
      <c r="J118" s="187">
        <f t="shared" ref="J118:K124" si="11">D118+F118+H118</f>
        <v>0</v>
      </c>
      <c r="K118" s="187">
        <f t="shared" si="11"/>
        <v>0</v>
      </c>
    </row>
    <row r="119" spans="1:19" x14ac:dyDescent="0.25">
      <c r="A119" s="534"/>
      <c r="B119" s="535"/>
      <c r="C119" s="32">
        <v>2015</v>
      </c>
      <c r="D119" s="122"/>
      <c r="E119" s="123"/>
      <c r="F119" s="123"/>
      <c r="G119" s="123"/>
      <c r="H119" s="123"/>
      <c r="I119" s="124"/>
      <c r="J119" s="187">
        <f t="shared" si="11"/>
        <v>0</v>
      </c>
      <c r="K119" s="187">
        <f t="shared" si="11"/>
        <v>0</v>
      </c>
    </row>
    <row r="120" spans="1:19" x14ac:dyDescent="0.25">
      <c r="A120" s="534"/>
      <c r="B120" s="535"/>
      <c r="C120" s="32">
        <v>2016</v>
      </c>
      <c r="D120" s="122"/>
      <c r="E120" s="123"/>
      <c r="F120" s="123"/>
      <c r="G120" s="123"/>
      <c r="H120" s="123"/>
      <c r="I120" s="124"/>
      <c r="J120" s="187">
        <f t="shared" si="11"/>
        <v>0</v>
      </c>
      <c r="K120" s="187">
        <f t="shared" si="11"/>
        <v>0</v>
      </c>
    </row>
    <row r="121" spans="1:19" x14ac:dyDescent="0.25">
      <c r="A121" s="534"/>
      <c r="B121" s="535"/>
      <c r="C121" s="32">
        <v>2017</v>
      </c>
      <c r="D121" s="125"/>
      <c r="E121" s="126"/>
      <c r="F121" s="126"/>
      <c r="G121" s="126"/>
      <c r="H121" s="126"/>
      <c r="I121" s="127"/>
      <c r="J121" s="187">
        <f t="shared" si="11"/>
        <v>0</v>
      </c>
      <c r="K121" s="187">
        <f t="shared" si="11"/>
        <v>0</v>
      </c>
    </row>
    <row r="122" spans="1:19" x14ac:dyDescent="0.25">
      <c r="A122" s="534"/>
      <c r="B122" s="535"/>
      <c r="C122" s="32">
        <v>2018</v>
      </c>
      <c r="D122" s="122"/>
      <c r="E122" s="123"/>
      <c r="F122" s="123"/>
      <c r="G122" s="123"/>
      <c r="H122" s="123"/>
      <c r="I122" s="124"/>
      <c r="J122" s="187">
        <f t="shared" si="11"/>
        <v>0</v>
      </c>
      <c r="K122" s="187">
        <f t="shared" si="11"/>
        <v>0</v>
      </c>
    </row>
    <row r="123" spans="1:19" x14ac:dyDescent="0.25">
      <c r="A123" s="534"/>
      <c r="B123" s="535"/>
      <c r="C123" s="32">
        <v>2019</v>
      </c>
      <c r="D123" s="122"/>
      <c r="E123" s="123"/>
      <c r="F123" s="123"/>
      <c r="G123" s="123"/>
      <c r="H123" s="123"/>
      <c r="I123" s="124"/>
      <c r="J123" s="187">
        <f t="shared" si="11"/>
        <v>0</v>
      </c>
      <c r="K123" s="187">
        <f t="shared" si="11"/>
        <v>0</v>
      </c>
    </row>
    <row r="124" spans="1:19" x14ac:dyDescent="0.25">
      <c r="A124" s="534"/>
      <c r="B124" s="535"/>
      <c r="C124" s="32">
        <v>2020</v>
      </c>
      <c r="D124" s="122"/>
      <c r="E124" s="123"/>
      <c r="F124" s="123"/>
      <c r="G124" s="123"/>
      <c r="H124" s="123"/>
      <c r="I124" s="124"/>
      <c r="J124" s="187">
        <f t="shared" si="11"/>
        <v>0</v>
      </c>
      <c r="K124" s="187">
        <f t="shared" si="11"/>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589" t="s">
        <v>35</v>
      </c>
      <c r="B131" s="590"/>
      <c r="C131" s="32">
        <v>2014</v>
      </c>
      <c r="D131" s="33"/>
      <c r="E131" s="34"/>
      <c r="F131" s="34"/>
      <c r="G131" s="203">
        <f t="shared" ref="G131:G137" si="12">SUM(D131:E131)</f>
        <v>0</v>
      </c>
      <c r="H131" s="101"/>
      <c r="I131" s="37"/>
      <c r="J131" s="34"/>
      <c r="K131" s="34"/>
      <c r="L131" s="34"/>
      <c r="M131" s="34"/>
      <c r="N131" s="34"/>
      <c r="O131" s="38"/>
    </row>
    <row r="132" spans="1:15" x14ac:dyDescent="0.25">
      <c r="A132" s="589"/>
      <c r="B132" s="590"/>
      <c r="C132" s="32">
        <v>2015</v>
      </c>
      <c r="D132" s="33"/>
      <c r="E132" s="34"/>
      <c r="F132" s="34"/>
      <c r="G132" s="203">
        <f t="shared" si="12"/>
        <v>0</v>
      </c>
      <c r="H132" s="101"/>
      <c r="I132" s="37"/>
      <c r="J132" s="34"/>
      <c r="K132" s="34"/>
      <c r="L132" s="34"/>
      <c r="M132" s="34"/>
      <c r="N132" s="34"/>
      <c r="O132" s="38"/>
    </row>
    <row r="133" spans="1:15" x14ac:dyDescent="0.25">
      <c r="A133" s="589"/>
      <c r="B133" s="590"/>
      <c r="C133" s="32">
        <v>2016</v>
      </c>
      <c r="D133" s="33"/>
      <c r="E133" s="34"/>
      <c r="F133" s="34"/>
      <c r="G133" s="203">
        <f t="shared" si="12"/>
        <v>0</v>
      </c>
      <c r="H133" s="101"/>
      <c r="I133" s="37"/>
      <c r="J133" s="34"/>
      <c r="K133" s="34"/>
      <c r="L133" s="34"/>
      <c r="M133" s="34"/>
      <c r="N133" s="34"/>
      <c r="O133" s="38"/>
    </row>
    <row r="134" spans="1:15" x14ac:dyDescent="0.25">
      <c r="A134" s="589"/>
      <c r="B134" s="590"/>
      <c r="C134" s="32">
        <v>2017</v>
      </c>
      <c r="D134" s="39"/>
      <c r="E134" s="40"/>
      <c r="F134" s="40"/>
      <c r="G134" s="203">
        <f t="shared" si="12"/>
        <v>0</v>
      </c>
      <c r="H134" s="101"/>
      <c r="I134" s="42"/>
      <c r="J134" s="40"/>
      <c r="K134" s="40"/>
      <c r="L134" s="40"/>
      <c r="M134" s="40"/>
      <c r="N134" s="40"/>
      <c r="O134" s="43"/>
    </row>
    <row r="135" spans="1:15" x14ac:dyDescent="0.25">
      <c r="A135" s="589"/>
      <c r="B135" s="590"/>
      <c r="C135" s="32">
        <v>2018</v>
      </c>
      <c r="D135" s="33">
        <v>20</v>
      </c>
      <c r="E135" s="34">
        <v>8</v>
      </c>
      <c r="F135" s="34"/>
      <c r="G135" s="203">
        <f t="shared" si="12"/>
        <v>28</v>
      </c>
      <c r="H135" s="101">
        <v>43</v>
      </c>
      <c r="I135" s="37">
        <v>3</v>
      </c>
      <c r="J135" s="34">
        <v>9</v>
      </c>
      <c r="K135" s="34">
        <v>5</v>
      </c>
      <c r="L135" s="34">
        <v>3</v>
      </c>
      <c r="M135" s="34">
        <v>1</v>
      </c>
      <c r="N135" s="34">
        <v>7</v>
      </c>
      <c r="O135" s="38"/>
    </row>
    <row r="136" spans="1:15" x14ac:dyDescent="0.25">
      <c r="A136" s="589"/>
      <c r="B136" s="590"/>
      <c r="C136" s="32">
        <v>2019</v>
      </c>
      <c r="D136" s="33"/>
      <c r="E136" s="34"/>
      <c r="F136" s="34"/>
      <c r="G136" s="203">
        <f t="shared" si="12"/>
        <v>0</v>
      </c>
      <c r="H136" s="101"/>
      <c r="I136" s="37"/>
      <c r="J136" s="34"/>
      <c r="K136" s="34"/>
      <c r="L136" s="34"/>
      <c r="M136" s="34"/>
      <c r="N136" s="34"/>
      <c r="O136" s="38"/>
    </row>
    <row r="137" spans="1:15" x14ac:dyDescent="0.25">
      <c r="A137" s="589"/>
      <c r="B137" s="590"/>
      <c r="C137" s="32">
        <v>2020</v>
      </c>
      <c r="D137" s="33"/>
      <c r="E137" s="34"/>
      <c r="F137" s="34"/>
      <c r="G137" s="203">
        <f t="shared" si="12"/>
        <v>0</v>
      </c>
      <c r="H137" s="101"/>
      <c r="I137" s="37"/>
      <c r="J137" s="34"/>
      <c r="K137" s="34"/>
      <c r="L137" s="34"/>
      <c r="M137" s="34"/>
      <c r="N137" s="34"/>
      <c r="O137" s="38"/>
    </row>
    <row r="138" spans="1:15" ht="15.95" customHeight="1" thickBot="1" x14ac:dyDescent="0.3">
      <c r="A138" s="591"/>
      <c r="B138" s="592"/>
      <c r="C138" s="50" t="s">
        <v>14</v>
      </c>
      <c r="D138" s="51">
        <f>SUM(D131:D137)</f>
        <v>20</v>
      </c>
      <c r="E138" s="52">
        <f>SUM(E131:E137)</f>
        <v>8</v>
      </c>
      <c r="F138" s="52">
        <f>SUM(F131:F137)</f>
        <v>0</v>
      </c>
      <c r="G138" s="205">
        <f t="shared" ref="G138:O138" si="13">SUM(G131:G137)</f>
        <v>28</v>
      </c>
      <c r="H138" s="206">
        <f t="shared" si="13"/>
        <v>43</v>
      </c>
      <c r="I138" s="85">
        <f t="shared" si="13"/>
        <v>3</v>
      </c>
      <c r="J138" s="52">
        <f t="shared" si="13"/>
        <v>9</v>
      </c>
      <c r="K138" s="52">
        <f t="shared" si="13"/>
        <v>5</v>
      </c>
      <c r="L138" s="52">
        <f t="shared" si="13"/>
        <v>3</v>
      </c>
      <c r="M138" s="52">
        <f t="shared" si="13"/>
        <v>1</v>
      </c>
      <c r="N138" s="52">
        <f t="shared" si="13"/>
        <v>7</v>
      </c>
      <c r="O138" s="86">
        <f t="shared" si="13"/>
        <v>0</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581" t="s">
        <v>35</v>
      </c>
      <c r="B142" s="582"/>
      <c r="C142" s="212">
        <v>2014</v>
      </c>
      <c r="D142" s="213"/>
      <c r="E142" s="80"/>
      <c r="F142" s="80"/>
      <c r="G142" s="214">
        <f>SUM(D142:F142)</f>
        <v>0</v>
      </c>
      <c r="H142" s="79"/>
      <c r="I142" s="80"/>
      <c r="J142" s="80"/>
      <c r="K142" s="80"/>
      <c r="L142" s="81"/>
    </row>
    <row r="143" spans="1:15" x14ac:dyDescent="0.25">
      <c r="A143" s="534"/>
      <c r="B143" s="535"/>
      <c r="C143" s="32">
        <v>2015</v>
      </c>
      <c r="D143" s="33"/>
      <c r="E143" s="34"/>
      <c r="F143" s="34"/>
      <c r="G143" s="214">
        <f t="shared" ref="G143:G148" si="14">SUM(D143:F143)</f>
        <v>0</v>
      </c>
      <c r="H143" s="37"/>
      <c r="I143" s="34"/>
      <c r="J143" s="34"/>
      <c r="K143" s="34"/>
      <c r="L143" s="38"/>
    </row>
    <row r="144" spans="1:15" x14ac:dyDescent="0.25">
      <c r="A144" s="534"/>
      <c r="B144" s="535"/>
      <c r="C144" s="32">
        <v>2016</v>
      </c>
      <c r="D144" s="33"/>
      <c r="E144" s="34"/>
      <c r="F144" s="34"/>
      <c r="G144" s="214">
        <f t="shared" si="14"/>
        <v>0</v>
      </c>
      <c r="H144" s="37"/>
      <c r="I144" s="34"/>
      <c r="J144" s="34"/>
      <c r="K144" s="34"/>
      <c r="L144" s="38"/>
    </row>
    <row r="145" spans="1:15" x14ac:dyDescent="0.25">
      <c r="A145" s="534"/>
      <c r="B145" s="535"/>
      <c r="C145" s="32">
        <v>2017</v>
      </c>
      <c r="D145" s="39"/>
      <c r="E145" s="40"/>
      <c r="F145" s="40"/>
      <c r="G145" s="214">
        <f t="shared" si="14"/>
        <v>0</v>
      </c>
      <c r="H145" s="42"/>
      <c r="I145" s="40"/>
      <c r="J145" s="40"/>
      <c r="K145" s="40"/>
      <c r="L145" s="43"/>
    </row>
    <row r="146" spans="1:15" x14ac:dyDescent="0.25">
      <c r="A146" s="534"/>
      <c r="B146" s="535"/>
      <c r="C146" s="32">
        <v>2018</v>
      </c>
      <c r="D146" s="33">
        <v>1905</v>
      </c>
      <c r="E146" s="34">
        <v>671</v>
      </c>
      <c r="F146" s="34"/>
      <c r="G146" s="214">
        <f t="shared" si="14"/>
        <v>2576</v>
      </c>
      <c r="H146" s="37"/>
      <c r="I146" s="34">
        <v>117</v>
      </c>
      <c r="J146" s="34">
        <v>127</v>
      </c>
      <c r="K146" s="34">
        <v>2332</v>
      </c>
      <c r="L146" s="38"/>
    </row>
    <row r="147" spans="1:15" x14ac:dyDescent="0.25">
      <c r="A147" s="534"/>
      <c r="B147" s="535"/>
      <c r="C147" s="32">
        <v>2019</v>
      </c>
      <c r="D147" s="33"/>
      <c r="E147" s="34"/>
      <c r="F147" s="34"/>
      <c r="G147" s="214">
        <f t="shared" si="14"/>
        <v>0</v>
      </c>
      <c r="H147" s="37"/>
      <c r="I147" s="34"/>
      <c r="J147" s="34"/>
      <c r="K147" s="34"/>
      <c r="L147" s="38"/>
    </row>
    <row r="148" spans="1:15" x14ac:dyDescent="0.25">
      <c r="A148" s="534"/>
      <c r="B148" s="535"/>
      <c r="C148" s="32">
        <v>2020</v>
      </c>
      <c r="D148" s="33"/>
      <c r="E148" s="34"/>
      <c r="F148" s="34"/>
      <c r="G148" s="214">
        <f t="shared" si="14"/>
        <v>0</v>
      </c>
      <c r="H148" s="37"/>
      <c r="I148" s="34"/>
      <c r="J148" s="34"/>
      <c r="K148" s="34"/>
      <c r="L148" s="38"/>
    </row>
    <row r="149" spans="1:15" ht="15.75" thickBot="1" x14ac:dyDescent="0.3">
      <c r="A149" s="536"/>
      <c r="B149" s="537"/>
      <c r="C149" s="50" t="s">
        <v>14</v>
      </c>
      <c r="D149" s="51">
        <f t="shared" ref="D149:L149" si="15">SUM(D142:D148)</f>
        <v>1905</v>
      </c>
      <c r="E149" s="52">
        <f t="shared" si="15"/>
        <v>671</v>
      </c>
      <c r="F149" s="52">
        <f t="shared" si="15"/>
        <v>0</v>
      </c>
      <c r="G149" s="54">
        <f t="shared" si="15"/>
        <v>2576</v>
      </c>
      <c r="H149" s="85">
        <f t="shared" si="15"/>
        <v>0</v>
      </c>
      <c r="I149" s="52">
        <f t="shared" si="15"/>
        <v>117</v>
      </c>
      <c r="J149" s="52">
        <f t="shared" si="15"/>
        <v>127</v>
      </c>
      <c r="K149" s="52">
        <f t="shared" si="15"/>
        <v>2332</v>
      </c>
      <c r="L149" s="86">
        <f t="shared" si="15"/>
        <v>0</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540" t="s">
        <v>35</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32">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27">
        <v>2018</v>
      </c>
      <c r="H165" s="227">
        <v>2019</v>
      </c>
      <c r="I165" s="228">
        <v>2020</v>
      </c>
    </row>
    <row r="166" spans="1:9" ht="14.1" customHeight="1" x14ac:dyDescent="0.25">
      <c r="A166" s="229" t="s">
        <v>109</v>
      </c>
      <c r="B166" s="242"/>
      <c r="C166" s="230">
        <f>SUM(C167:C169)</f>
        <v>0</v>
      </c>
      <c r="D166" s="230">
        <f t="shared" ref="D166:I166" si="16">SUM(D167:D169)</f>
        <v>0</v>
      </c>
      <c r="E166" s="230">
        <f t="shared" si="16"/>
        <v>0</v>
      </c>
      <c r="F166" s="230">
        <f t="shared" si="16"/>
        <v>0</v>
      </c>
      <c r="G166" s="230">
        <f t="shared" si="16"/>
        <v>1249780.02</v>
      </c>
      <c r="H166" s="230">
        <f t="shared" si="16"/>
        <v>0</v>
      </c>
      <c r="I166" s="231">
        <f t="shared" si="16"/>
        <v>0</v>
      </c>
    </row>
    <row r="167" spans="1:9" ht="15.75" x14ac:dyDescent="0.25">
      <c r="A167" s="232" t="s">
        <v>111</v>
      </c>
      <c r="B167" s="243"/>
      <c r="C167" s="78"/>
      <c r="D167" s="78"/>
      <c r="E167" s="78"/>
      <c r="F167" s="82"/>
      <c r="G167" s="78">
        <v>1037656.31</v>
      </c>
      <c r="H167" s="78"/>
      <c r="I167" s="233"/>
    </row>
    <row r="168" spans="1:9" ht="15.75" x14ac:dyDescent="0.25">
      <c r="A168" s="232" t="s">
        <v>112</v>
      </c>
      <c r="B168" s="243"/>
      <c r="C168" s="78"/>
      <c r="D168" s="78"/>
      <c r="E168" s="78"/>
      <c r="F168" s="82"/>
      <c r="G168" s="78">
        <f>60850+24846+74538</f>
        <v>160234</v>
      </c>
      <c r="H168" s="78"/>
      <c r="I168" s="233"/>
    </row>
    <row r="169" spans="1:9" ht="15.75" x14ac:dyDescent="0.25">
      <c r="A169" s="232" t="s">
        <v>113</v>
      </c>
      <c r="B169" s="243"/>
      <c r="C169" s="78"/>
      <c r="D169" s="78"/>
      <c r="E169" s="78"/>
      <c r="F169" s="82"/>
      <c r="G169" s="78">
        <f>36900+14989.71</f>
        <v>51889.71</v>
      </c>
      <c r="H169" s="78"/>
      <c r="I169" s="233"/>
    </row>
    <row r="170" spans="1:9" ht="31.5" x14ac:dyDescent="0.25">
      <c r="A170" s="234" t="s">
        <v>114</v>
      </c>
      <c r="B170" s="243"/>
      <c r="C170" s="78"/>
      <c r="D170" s="78"/>
      <c r="E170" s="78"/>
      <c r="F170" s="82"/>
      <c r="G170" s="78">
        <v>835795.65</v>
      </c>
      <c r="H170" s="78"/>
      <c r="I170" s="233"/>
    </row>
    <row r="171" spans="1:9" ht="16.5" thickBot="1" x14ac:dyDescent="0.3">
      <c r="A171" s="235" t="s">
        <v>115</v>
      </c>
      <c r="B171" s="244"/>
      <c r="C171" s="236">
        <f t="shared" ref="C171:I171" si="17">C166+C170</f>
        <v>0</v>
      </c>
      <c r="D171" s="236">
        <f t="shared" si="17"/>
        <v>0</v>
      </c>
      <c r="E171" s="236">
        <f t="shared" si="17"/>
        <v>0</v>
      </c>
      <c r="F171" s="236">
        <f t="shared" si="17"/>
        <v>0</v>
      </c>
      <c r="G171" s="236">
        <f t="shared" si="17"/>
        <v>2085575.67</v>
      </c>
      <c r="H171" s="236">
        <f t="shared" si="17"/>
        <v>0</v>
      </c>
      <c r="I171" s="86">
        <f t="shared" si="17"/>
        <v>0</v>
      </c>
    </row>
  </sheetData>
  <mergeCells count="49">
    <mergeCell ref="A142:B149"/>
    <mergeCell ref="A155:B162"/>
    <mergeCell ref="I129:O129"/>
    <mergeCell ref="A131:B138"/>
    <mergeCell ref="A140:A141"/>
    <mergeCell ref="B140:B141"/>
    <mergeCell ref="C140:C141"/>
    <mergeCell ref="D140:G140"/>
    <mergeCell ref="H140:L140"/>
    <mergeCell ref="C106:C107"/>
    <mergeCell ref="A108:B115"/>
    <mergeCell ref="A118:B125"/>
    <mergeCell ref="A129:A130"/>
    <mergeCell ref="B129:B130"/>
    <mergeCell ref="C129:C130"/>
    <mergeCell ref="A85:B92"/>
    <mergeCell ref="A94:A95"/>
    <mergeCell ref="B94:B95"/>
    <mergeCell ref="A96:B102"/>
    <mergeCell ref="A106:A107"/>
    <mergeCell ref="B106:B107"/>
    <mergeCell ref="D72:D73"/>
    <mergeCell ref="A74:B81"/>
    <mergeCell ref="A83:A84"/>
    <mergeCell ref="B83:B84"/>
    <mergeCell ref="C83:C84"/>
    <mergeCell ref="D83:D84"/>
    <mergeCell ref="A72:A73"/>
    <mergeCell ref="B72:B73"/>
    <mergeCell ref="C72:C73"/>
    <mergeCell ref="A50:B57"/>
    <mergeCell ref="A61:A62"/>
    <mergeCell ref="B61:B62"/>
    <mergeCell ref="C61:C62"/>
    <mergeCell ref="A63:B70"/>
    <mergeCell ref="D34:D35"/>
    <mergeCell ref="A36:B43"/>
    <mergeCell ref="A48:A49"/>
    <mergeCell ref="B48:B49"/>
    <mergeCell ref="C48:C49"/>
    <mergeCell ref="D48:D49"/>
    <mergeCell ref="A34:A35"/>
    <mergeCell ref="B34:B35"/>
    <mergeCell ref="C34:C35"/>
    <mergeCell ref="B10:B11"/>
    <mergeCell ref="C10:C11"/>
    <mergeCell ref="A12:B19"/>
    <mergeCell ref="C21:C22"/>
    <mergeCell ref="A23:B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5"/>
  <sheetViews>
    <sheetView topLeftCell="A148" workbookViewId="0">
      <selection activeCell="A12" sqref="A12:B19"/>
    </sheetView>
  </sheetViews>
  <sheetFormatPr defaultColWidth="8.85546875" defaultRowHeight="15" x14ac:dyDescent="0.25"/>
  <cols>
    <col min="1" max="1" width="87.28515625" customWidth="1"/>
    <col min="2" max="2" width="29.42578125" customWidth="1"/>
    <col min="3" max="3" width="15.7109375" customWidth="1"/>
    <col min="4" max="4" width="16.140625" customWidth="1"/>
    <col min="5" max="5" width="15.28515625" customWidth="1"/>
    <col min="6" max="6" width="18.42578125" customWidth="1"/>
    <col min="7" max="7" width="15.85546875" customWidth="1"/>
    <col min="8" max="8" width="16" customWidth="1"/>
    <col min="9" max="9" width="16.42578125" customWidth="1"/>
    <col min="10" max="10" width="17" customWidth="1"/>
    <col min="11" max="11" width="16.85546875" customWidth="1"/>
    <col min="12" max="12" width="17" customWidth="1"/>
    <col min="13" max="13" width="15.42578125" customWidth="1"/>
    <col min="14" max="14" width="14.85546875" customWidth="1"/>
    <col min="15" max="15" width="13.140625" customWidth="1"/>
    <col min="16" max="17" width="11.85546875" customWidth="1"/>
    <col min="18" max="18" width="12" customWidth="1"/>
  </cols>
  <sheetData>
    <row r="1" spans="1:17" s="1" customFormat="1" ht="31.5" x14ac:dyDescent="0.5">
      <c r="A1" s="1" t="s">
        <v>0</v>
      </c>
    </row>
    <row r="2" spans="1:17" s="2" customFormat="1" ht="15.75" x14ac:dyDescent="0.25"/>
    <row r="3" spans="1:17" s="2" customFormat="1" ht="15.75" x14ac:dyDescent="0.25">
      <c r="A3" s="3" t="s">
        <v>1</v>
      </c>
    </row>
    <row r="4" spans="1:17" s="2" customFormat="1" ht="15.75" x14ac:dyDescent="0.25">
      <c r="A4" s="4" t="s">
        <v>142</v>
      </c>
    </row>
    <row r="5" spans="1:17" s="2" customFormat="1" ht="15.75" x14ac:dyDescent="0.25">
      <c r="A5" s="239" t="s">
        <v>143</v>
      </c>
    </row>
    <row r="6" spans="1:17" s="2" customFormat="1" ht="15.75" x14ac:dyDescent="0.25"/>
    <row r="8" spans="1:17" ht="21" x14ac:dyDescent="0.35">
      <c r="A8" s="6" t="s">
        <v>4</v>
      </c>
      <c r="B8" s="7"/>
      <c r="C8" s="8"/>
      <c r="D8" s="8"/>
      <c r="E8" s="8"/>
      <c r="F8" s="8"/>
      <c r="G8" s="8"/>
      <c r="H8" s="8"/>
      <c r="I8" s="8"/>
      <c r="J8" s="8"/>
      <c r="K8" s="8"/>
      <c r="L8" s="8"/>
      <c r="M8" s="8"/>
      <c r="N8" s="8"/>
      <c r="O8" s="9"/>
    </row>
    <row r="9" spans="1:17" ht="15.75" thickBot="1" x14ac:dyDescent="0.3">
      <c r="B9" s="10"/>
      <c r="O9" s="11"/>
      <c r="P9" s="11"/>
    </row>
    <row r="10" spans="1:17" s="20" customFormat="1" ht="18.75" x14ac:dyDescent="0.3">
      <c r="A10" s="12"/>
      <c r="B10" s="530" t="s">
        <v>5</v>
      </c>
      <c r="C10" s="532" t="s">
        <v>6</v>
      </c>
      <c r="D10" s="13"/>
      <c r="E10" s="14"/>
      <c r="F10" s="15" t="s">
        <v>7</v>
      </c>
      <c r="G10" s="16"/>
      <c r="H10" s="17"/>
      <c r="I10" s="18" t="s">
        <v>8</v>
      </c>
      <c r="J10" s="14"/>
      <c r="K10" s="14"/>
      <c r="L10" s="14"/>
      <c r="M10" s="14"/>
      <c r="N10" s="14"/>
      <c r="O10" s="19"/>
      <c r="P10" s="11"/>
      <c r="Q10" s="11"/>
    </row>
    <row r="11" spans="1:17" s="11" customFormat="1" ht="90" customHeight="1" x14ac:dyDescent="0.3">
      <c r="A11" s="21" t="s">
        <v>9</v>
      </c>
      <c r="B11" s="531"/>
      <c r="C11" s="533"/>
      <c r="D11" s="62" t="s">
        <v>10</v>
      </c>
      <c r="E11" s="240" t="s">
        <v>11</v>
      </c>
      <c r="F11" s="63" t="s">
        <v>12</v>
      </c>
      <c r="G11" s="64" t="s">
        <v>13</v>
      </c>
      <c r="H11" s="25" t="s">
        <v>14</v>
      </c>
      <c r="I11" s="26" t="s">
        <v>15</v>
      </c>
      <c r="J11" s="27" t="s">
        <v>16</v>
      </c>
      <c r="K11" s="27" t="s">
        <v>17</v>
      </c>
      <c r="L11" s="28" t="s">
        <v>18</v>
      </c>
      <c r="M11" s="28" t="s">
        <v>19</v>
      </c>
      <c r="N11" s="28" t="s">
        <v>20</v>
      </c>
      <c r="O11" s="29" t="s">
        <v>21</v>
      </c>
    </row>
    <row r="12" spans="1:17" ht="15" customHeight="1" x14ac:dyDescent="0.25">
      <c r="A12" s="534" t="s">
        <v>144</v>
      </c>
      <c r="B12" s="535"/>
      <c r="C12" s="32">
        <v>2014</v>
      </c>
      <c r="D12" s="33"/>
      <c r="E12" s="34"/>
      <c r="F12" s="34"/>
      <c r="G12" s="35"/>
      <c r="H12" s="255">
        <f>SUM(D12:G12)</f>
        <v>0</v>
      </c>
      <c r="I12" s="37"/>
      <c r="J12" s="34"/>
      <c r="K12" s="34"/>
      <c r="L12" s="34"/>
      <c r="M12" s="34"/>
      <c r="N12" s="34"/>
      <c r="O12" s="38"/>
      <c r="P12" s="11"/>
      <c r="Q12" s="11"/>
    </row>
    <row r="13" spans="1:17" s="263" customFormat="1" x14ac:dyDescent="0.25">
      <c r="A13" s="534"/>
      <c r="B13" s="535"/>
      <c r="C13" s="256">
        <v>2015</v>
      </c>
      <c r="D13" s="257"/>
      <c r="E13" s="258"/>
      <c r="F13" s="258"/>
      <c r="G13" s="259"/>
      <c r="H13" s="255">
        <f t="shared" ref="H13:H18" si="0">SUM(D13:G13)</f>
        <v>0</v>
      </c>
      <c r="I13" s="260"/>
      <c r="J13" s="258"/>
      <c r="K13" s="258"/>
      <c r="L13" s="258"/>
      <c r="M13" s="258"/>
      <c r="N13" s="258"/>
      <c r="O13" s="261"/>
      <c r="P13" s="262"/>
      <c r="Q13" s="262"/>
    </row>
    <row r="14" spans="1:17" x14ac:dyDescent="0.25">
      <c r="A14" s="534"/>
      <c r="B14" s="535"/>
      <c r="C14" s="32">
        <v>2016</v>
      </c>
      <c r="D14" s="33"/>
      <c r="E14" s="34"/>
      <c r="F14" s="34"/>
      <c r="G14" s="35"/>
      <c r="H14" s="255">
        <f t="shared" si="0"/>
        <v>0</v>
      </c>
      <c r="I14" s="37"/>
      <c r="J14" s="34"/>
      <c r="K14" s="34"/>
      <c r="L14" s="34"/>
      <c r="M14" s="34"/>
      <c r="N14" s="34"/>
      <c r="O14" s="38"/>
      <c r="P14" s="11"/>
      <c r="Q14" s="11"/>
    </row>
    <row r="15" spans="1:17" x14ac:dyDescent="0.25">
      <c r="A15" s="534"/>
      <c r="B15" s="535"/>
      <c r="C15" s="32">
        <v>2017</v>
      </c>
      <c r="D15" s="39"/>
      <c r="E15" s="40"/>
      <c r="F15" s="40"/>
      <c r="G15" s="41"/>
      <c r="H15" s="255">
        <f t="shared" si="0"/>
        <v>0</v>
      </c>
      <c r="I15" s="42"/>
      <c r="J15" s="40"/>
      <c r="K15" s="40"/>
      <c r="L15" s="40"/>
      <c r="M15" s="40"/>
      <c r="N15" s="40"/>
      <c r="O15" s="43"/>
      <c r="P15" s="11"/>
      <c r="Q15" s="11"/>
    </row>
    <row r="16" spans="1:17" x14ac:dyDescent="0.25">
      <c r="A16" s="534"/>
      <c r="B16" s="535"/>
      <c r="C16" s="264">
        <v>2018</v>
      </c>
      <c r="D16" s="33">
        <v>44</v>
      </c>
      <c r="E16" s="34">
        <v>2</v>
      </c>
      <c r="F16" s="34">
        <v>1</v>
      </c>
      <c r="G16" s="35">
        <v>11</v>
      </c>
      <c r="H16" s="255">
        <f t="shared" si="0"/>
        <v>58</v>
      </c>
      <c r="I16" s="37">
        <v>2</v>
      </c>
      <c r="J16" s="34">
        <v>2</v>
      </c>
      <c r="K16" s="34">
        <v>1</v>
      </c>
      <c r="L16" s="34">
        <v>0</v>
      </c>
      <c r="M16" s="34">
        <v>4</v>
      </c>
      <c r="N16" s="34">
        <v>33</v>
      </c>
      <c r="O16" s="38">
        <v>16</v>
      </c>
      <c r="P16" s="11"/>
      <c r="Q16" s="11"/>
    </row>
    <row r="17" spans="1:17" x14ac:dyDescent="0.25">
      <c r="A17" s="534"/>
      <c r="B17" s="535"/>
      <c r="C17" s="32">
        <v>2019</v>
      </c>
      <c r="D17" s="33"/>
      <c r="E17" s="34"/>
      <c r="F17" s="34"/>
      <c r="G17" s="35"/>
      <c r="H17" s="255">
        <f t="shared" si="0"/>
        <v>0</v>
      </c>
      <c r="I17" s="37"/>
      <c r="J17" s="34"/>
      <c r="K17" s="34"/>
      <c r="L17" s="34"/>
      <c r="M17" s="34"/>
      <c r="N17" s="34"/>
      <c r="O17" s="38"/>
      <c r="P17" s="11"/>
      <c r="Q17" s="11"/>
    </row>
    <row r="18" spans="1:17" x14ac:dyDescent="0.25">
      <c r="A18" s="534"/>
      <c r="B18" s="535"/>
      <c r="C18" s="32">
        <v>2020</v>
      </c>
      <c r="D18" s="33"/>
      <c r="E18" s="34"/>
      <c r="F18" s="34"/>
      <c r="G18" s="35"/>
      <c r="H18" s="255">
        <f t="shared" si="0"/>
        <v>0</v>
      </c>
      <c r="I18" s="37"/>
      <c r="J18" s="34"/>
      <c r="K18" s="34"/>
      <c r="L18" s="34"/>
      <c r="M18" s="34"/>
      <c r="N18" s="34"/>
      <c r="O18" s="38"/>
      <c r="P18" s="11"/>
      <c r="Q18" s="11"/>
    </row>
    <row r="19" spans="1:17" ht="273" customHeight="1" thickBot="1" x14ac:dyDescent="0.3">
      <c r="A19" s="536"/>
      <c r="B19" s="537"/>
      <c r="C19" s="50" t="s">
        <v>14</v>
      </c>
      <c r="D19" s="265">
        <f>SUM(D12:D18)</f>
        <v>44</v>
      </c>
      <c r="E19" s="266">
        <f>SUM(E12:E18)</f>
        <v>2</v>
      </c>
      <c r="F19" s="266">
        <f>SUM(F12:F18)</f>
        <v>1</v>
      </c>
      <c r="G19" s="267"/>
      <c r="H19" s="268">
        <f>SUM(D19:F19)</f>
        <v>47</v>
      </c>
      <c r="I19" s="85">
        <f>SUM(I12:I18)</f>
        <v>2</v>
      </c>
      <c r="J19" s="52"/>
      <c r="K19" s="52">
        <f>SUM(K12:K18)</f>
        <v>1</v>
      </c>
      <c r="L19" s="52">
        <f>SUM(L12:L18)</f>
        <v>0</v>
      </c>
      <c r="M19" s="52">
        <f>SUM(M12:M18)</f>
        <v>4</v>
      </c>
      <c r="N19" s="52">
        <f>SUM(N12:N18)</f>
        <v>33</v>
      </c>
      <c r="O19" s="86">
        <f>SUM(O12:O18)</f>
        <v>16</v>
      </c>
      <c r="P19" s="11"/>
      <c r="Q19" s="11"/>
    </row>
    <row r="20" spans="1:17" ht="15.75" thickBot="1" x14ac:dyDescent="0.3">
      <c r="B20" s="10"/>
      <c r="D20" s="58"/>
      <c r="O20" s="11"/>
      <c r="P20" s="11"/>
    </row>
    <row r="21" spans="1:17" s="20" customFormat="1" ht="18.75" x14ac:dyDescent="0.3">
      <c r="A21" s="12"/>
      <c r="B21" s="59"/>
      <c r="C21" s="532" t="s">
        <v>6</v>
      </c>
      <c r="D21" s="13"/>
      <c r="E21" s="14"/>
      <c r="F21" s="15" t="s">
        <v>7</v>
      </c>
      <c r="G21" s="16"/>
      <c r="H21" s="17"/>
    </row>
    <row r="22" spans="1:17" s="11" customFormat="1" ht="44.25" customHeight="1" x14ac:dyDescent="0.3">
      <c r="A22" s="60" t="s">
        <v>22</v>
      </c>
      <c r="B22" s="294" t="s">
        <v>23</v>
      </c>
      <c r="C22" s="533"/>
      <c r="D22" s="62" t="s">
        <v>10</v>
      </c>
      <c r="E22" s="63" t="s">
        <v>11</v>
      </c>
      <c r="F22" s="63" t="s">
        <v>12</v>
      </c>
      <c r="G22" s="64" t="s">
        <v>13</v>
      </c>
      <c r="H22" s="25" t="s">
        <v>14</v>
      </c>
    </row>
    <row r="23" spans="1:17" ht="15" customHeight="1" x14ac:dyDescent="0.25">
      <c r="A23" s="534" t="s">
        <v>145</v>
      </c>
      <c r="B23" s="535"/>
      <c r="C23" s="32">
        <v>2014</v>
      </c>
      <c r="D23" s="269"/>
      <c r="E23" s="270"/>
      <c r="F23" s="270"/>
      <c r="G23" s="271"/>
      <c r="H23" s="272">
        <f>SUM(D23:G23)</f>
        <v>0</v>
      </c>
    </row>
    <row r="24" spans="1:17" x14ac:dyDescent="0.25">
      <c r="A24" s="534"/>
      <c r="B24" s="535"/>
      <c r="C24" s="32">
        <v>2015</v>
      </c>
      <c r="D24" s="269"/>
      <c r="E24" s="270"/>
      <c r="F24" s="270"/>
      <c r="G24" s="271"/>
      <c r="H24" s="272">
        <f t="shared" ref="H24:H29" si="1">SUM(D24:G24)</f>
        <v>0</v>
      </c>
    </row>
    <row r="25" spans="1:17" x14ac:dyDescent="0.25">
      <c r="A25" s="534"/>
      <c r="B25" s="535"/>
      <c r="C25" s="32">
        <v>2016</v>
      </c>
      <c r="D25" s="269"/>
      <c r="E25" s="270"/>
      <c r="F25" s="270"/>
      <c r="G25" s="271"/>
      <c r="H25" s="272">
        <f t="shared" si="1"/>
        <v>0</v>
      </c>
    </row>
    <row r="26" spans="1:17" x14ac:dyDescent="0.25">
      <c r="A26" s="534"/>
      <c r="B26" s="535"/>
      <c r="C26" s="32">
        <v>2017</v>
      </c>
      <c r="D26" s="273"/>
      <c r="E26" s="274"/>
      <c r="F26" s="274"/>
      <c r="G26" s="275"/>
      <c r="H26" s="272">
        <f t="shared" si="1"/>
        <v>0</v>
      </c>
    </row>
    <row r="27" spans="1:17" x14ac:dyDescent="0.25">
      <c r="A27" s="534"/>
      <c r="B27" s="535"/>
      <c r="C27" s="264">
        <v>2018</v>
      </c>
      <c r="D27" s="269">
        <v>1608</v>
      </c>
      <c r="E27" s="270">
        <v>5</v>
      </c>
      <c r="F27" s="270">
        <v>20</v>
      </c>
      <c r="G27" s="271">
        <v>114000</v>
      </c>
      <c r="H27" s="272">
        <f t="shared" si="1"/>
        <v>115633</v>
      </c>
    </row>
    <row r="28" spans="1:17" x14ac:dyDescent="0.25">
      <c r="A28" s="534"/>
      <c r="B28" s="535"/>
      <c r="C28" s="32">
        <v>2019</v>
      </c>
      <c r="D28" s="269"/>
      <c r="E28" s="270"/>
      <c r="F28" s="270"/>
      <c r="G28" s="271"/>
      <c r="H28" s="272">
        <f t="shared" si="1"/>
        <v>0</v>
      </c>
    </row>
    <row r="29" spans="1:17" x14ac:dyDescent="0.25">
      <c r="A29" s="534"/>
      <c r="B29" s="535"/>
      <c r="C29" s="32">
        <v>2020</v>
      </c>
      <c r="D29" s="269"/>
      <c r="E29" s="270"/>
      <c r="F29" s="270"/>
      <c r="G29" s="271"/>
      <c r="H29" s="272">
        <f t="shared" si="1"/>
        <v>0</v>
      </c>
    </row>
    <row r="30" spans="1:17" ht="134.25" customHeight="1" thickBot="1" x14ac:dyDescent="0.3">
      <c r="A30" s="536"/>
      <c r="B30" s="537"/>
      <c r="C30" s="50" t="s">
        <v>14</v>
      </c>
      <c r="D30" s="276">
        <f>SUM(D23:D29)</f>
        <v>1608</v>
      </c>
      <c r="E30" s="277">
        <f>SUM(E23:E29)</f>
        <v>5</v>
      </c>
      <c r="F30" s="277">
        <f>SUM(F23:F29)</f>
        <v>20</v>
      </c>
      <c r="G30" s="277">
        <f>SUM(G23:G29)</f>
        <v>114000</v>
      </c>
      <c r="H30" s="278">
        <f>SUM(D30:G30)</f>
        <v>115633</v>
      </c>
    </row>
    <row r="31" spans="1:17" x14ac:dyDescent="0.25">
      <c r="A31" s="65"/>
      <c r="B31" s="66"/>
      <c r="D31" s="58"/>
    </row>
    <row r="32" spans="1:17" ht="21" x14ac:dyDescent="0.35">
      <c r="A32" s="67" t="s">
        <v>24</v>
      </c>
      <c r="B32" s="68"/>
      <c r="C32" s="67"/>
      <c r="D32" s="69"/>
      <c r="E32" s="69"/>
      <c r="F32" s="69"/>
      <c r="G32" s="69"/>
      <c r="H32" s="69"/>
      <c r="I32" s="69"/>
      <c r="J32" s="69"/>
      <c r="K32" s="69"/>
      <c r="L32" s="69"/>
      <c r="M32" s="69"/>
      <c r="N32" s="69"/>
      <c r="O32" s="69"/>
    </row>
    <row r="33" spans="1:13" ht="15.75" thickBot="1" x14ac:dyDescent="0.3">
      <c r="B33" s="10"/>
    </row>
    <row r="34" spans="1:13" ht="21" customHeight="1" x14ac:dyDescent="0.25">
      <c r="A34" s="552" t="s">
        <v>25</v>
      </c>
      <c r="B34" s="554" t="s">
        <v>26</v>
      </c>
      <c r="C34" s="556" t="s">
        <v>6</v>
      </c>
      <c r="D34" s="538" t="s">
        <v>27</v>
      </c>
      <c r="E34" s="70" t="s">
        <v>28</v>
      </c>
      <c r="F34" s="71"/>
      <c r="G34" s="71"/>
      <c r="H34" s="71"/>
      <c r="I34" s="71"/>
      <c r="J34" s="71"/>
      <c r="K34" s="72"/>
    </row>
    <row r="35" spans="1:13" ht="98.25" customHeight="1" x14ac:dyDescent="0.25">
      <c r="A35" s="553"/>
      <c r="B35" s="555"/>
      <c r="C35" s="557"/>
      <c r="D35" s="539"/>
      <c r="E35" s="73" t="s">
        <v>15</v>
      </c>
      <c r="F35" s="74" t="s">
        <v>16</v>
      </c>
      <c r="G35" s="74" t="s">
        <v>17</v>
      </c>
      <c r="H35" s="75" t="s">
        <v>18</v>
      </c>
      <c r="I35" s="75" t="s">
        <v>29</v>
      </c>
      <c r="J35" s="76" t="s">
        <v>20</v>
      </c>
      <c r="K35" s="77" t="s">
        <v>21</v>
      </c>
    </row>
    <row r="36" spans="1:13" ht="15" customHeight="1" x14ac:dyDescent="0.25">
      <c r="A36" s="540" t="s">
        <v>146</v>
      </c>
      <c r="B36" s="541"/>
      <c r="C36" s="32">
        <v>2014</v>
      </c>
      <c r="D36" s="78"/>
      <c r="E36" s="79"/>
      <c r="F36" s="80"/>
      <c r="G36" s="80"/>
      <c r="H36" s="80"/>
      <c r="I36" s="80"/>
      <c r="J36" s="80"/>
      <c r="K36" s="81"/>
    </row>
    <row r="37" spans="1:13" x14ac:dyDescent="0.25">
      <c r="A37" s="540"/>
      <c r="B37" s="541"/>
      <c r="C37" s="32">
        <v>2015</v>
      </c>
      <c r="D37" s="78"/>
      <c r="E37" s="37"/>
      <c r="F37" s="34"/>
      <c r="G37" s="34"/>
      <c r="H37" s="34"/>
      <c r="I37" s="34"/>
      <c r="J37" s="34"/>
      <c r="K37" s="38"/>
    </row>
    <row r="38" spans="1:13" x14ac:dyDescent="0.25">
      <c r="A38" s="540"/>
      <c r="B38" s="541"/>
      <c r="C38" s="32">
        <v>2016</v>
      </c>
      <c r="D38" s="78"/>
      <c r="E38" s="37"/>
      <c r="F38" s="34"/>
      <c r="G38" s="34"/>
      <c r="H38" s="34"/>
      <c r="I38" s="34"/>
      <c r="J38" s="34"/>
      <c r="K38" s="38"/>
    </row>
    <row r="39" spans="1:13" x14ac:dyDescent="0.25">
      <c r="A39" s="540"/>
      <c r="B39" s="541"/>
      <c r="C39" s="32">
        <v>2017</v>
      </c>
      <c r="D39" s="82"/>
      <c r="E39" s="42"/>
      <c r="F39" s="40"/>
      <c r="G39" s="40"/>
      <c r="H39" s="40"/>
      <c r="I39" s="40"/>
      <c r="J39" s="40"/>
      <c r="K39" s="43"/>
    </row>
    <row r="40" spans="1:13" x14ac:dyDescent="0.25">
      <c r="A40" s="540"/>
      <c r="B40" s="541"/>
      <c r="C40" s="264">
        <v>2018</v>
      </c>
      <c r="D40" s="78">
        <v>6</v>
      </c>
      <c r="E40" s="37">
        <v>0</v>
      </c>
      <c r="F40" s="34">
        <v>0</v>
      </c>
      <c r="G40" s="34">
        <v>0</v>
      </c>
      <c r="H40" s="34">
        <v>0</v>
      </c>
      <c r="I40" s="34">
        <v>1</v>
      </c>
      <c r="J40" s="34">
        <v>5</v>
      </c>
      <c r="K40" s="38">
        <v>0</v>
      </c>
    </row>
    <row r="41" spans="1:13" x14ac:dyDescent="0.25">
      <c r="A41" s="540"/>
      <c r="B41" s="541"/>
      <c r="C41" s="32">
        <v>2019</v>
      </c>
      <c r="D41" s="78"/>
      <c r="E41" s="37"/>
      <c r="F41" s="34"/>
      <c r="G41" s="34"/>
      <c r="H41" s="34"/>
      <c r="I41" s="34"/>
      <c r="J41" s="34"/>
      <c r="K41" s="38"/>
    </row>
    <row r="42" spans="1:13" ht="17.25" customHeight="1" x14ac:dyDescent="0.25">
      <c r="A42" s="540"/>
      <c r="B42" s="541"/>
      <c r="C42" s="32">
        <v>2020</v>
      </c>
      <c r="D42" s="78"/>
      <c r="E42" s="37"/>
      <c r="F42" s="34"/>
      <c r="G42" s="34"/>
      <c r="H42" s="34"/>
      <c r="I42" s="34"/>
      <c r="J42" s="34"/>
      <c r="K42" s="38"/>
    </row>
    <row r="43" spans="1:13" ht="21" customHeight="1" thickBot="1" x14ac:dyDescent="0.3">
      <c r="A43" s="542"/>
      <c r="B43" s="543"/>
      <c r="C43" s="50" t="s">
        <v>14</v>
      </c>
      <c r="D43" s="279">
        <f>SUM(D36:D42)</f>
        <v>6</v>
      </c>
      <c r="E43" s="280">
        <f t="shared" ref="E43:J43" si="2">SUM(E36:E42)</f>
        <v>0</v>
      </c>
      <c r="F43" s="266">
        <f t="shared" si="2"/>
        <v>0</v>
      </c>
      <c r="G43" s="266">
        <f t="shared" si="2"/>
        <v>0</v>
      </c>
      <c r="H43" s="266">
        <f t="shared" si="2"/>
        <v>0</v>
      </c>
      <c r="I43" s="266">
        <f t="shared" si="2"/>
        <v>1</v>
      </c>
      <c r="J43" s="266">
        <f t="shared" si="2"/>
        <v>5</v>
      </c>
      <c r="K43" s="281">
        <f>SUM(K36:K42)</f>
        <v>0</v>
      </c>
    </row>
    <row r="44" spans="1:13" x14ac:dyDescent="0.25">
      <c r="B44" s="10"/>
    </row>
    <row r="45" spans="1:13" x14ac:dyDescent="0.25">
      <c r="B45" s="10"/>
    </row>
    <row r="46" spans="1:13" ht="21" x14ac:dyDescent="0.35">
      <c r="A46" s="87" t="s">
        <v>31</v>
      </c>
      <c r="B46" s="88"/>
      <c r="C46" s="87"/>
      <c r="D46" s="89"/>
      <c r="E46" s="89"/>
      <c r="F46" s="89"/>
      <c r="G46" s="89"/>
      <c r="H46" s="89"/>
      <c r="I46" s="89"/>
      <c r="J46" s="89"/>
      <c r="K46" s="89"/>
      <c r="L46" s="90"/>
      <c r="M46" s="90"/>
    </row>
    <row r="47" spans="1:13" ht="14.25" customHeight="1" thickBot="1" x14ac:dyDescent="0.3">
      <c r="A47" s="91"/>
      <c r="B47" s="92"/>
    </row>
    <row r="48" spans="1:13" ht="14.25" customHeight="1" x14ac:dyDescent="0.25">
      <c r="A48" s="544" t="s">
        <v>32</v>
      </c>
      <c r="B48" s="546" t="s">
        <v>33</v>
      </c>
      <c r="C48" s="548" t="s">
        <v>6</v>
      </c>
      <c r="D48" s="550" t="s">
        <v>34</v>
      </c>
      <c r="E48" s="93" t="s">
        <v>28</v>
      </c>
      <c r="F48" s="94"/>
      <c r="G48" s="94"/>
      <c r="H48" s="94"/>
      <c r="I48" s="94"/>
      <c r="J48" s="94"/>
      <c r="K48" s="95"/>
    </row>
    <row r="49" spans="1:16" s="11" customFormat="1" ht="117" customHeight="1" x14ac:dyDescent="0.25">
      <c r="A49" s="609"/>
      <c r="B49" s="547"/>
      <c r="C49" s="549"/>
      <c r="D49" s="551"/>
      <c r="E49" s="96" t="s">
        <v>15</v>
      </c>
      <c r="F49" s="97" t="s">
        <v>16</v>
      </c>
      <c r="G49" s="97" t="s">
        <v>17</v>
      </c>
      <c r="H49" s="98" t="s">
        <v>18</v>
      </c>
      <c r="I49" s="98" t="s">
        <v>29</v>
      </c>
      <c r="J49" s="99" t="s">
        <v>20</v>
      </c>
      <c r="K49" s="100" t="s">
        <v>21</v>
      </c>
    </row>
    <row r="50" spans="1:16" ht="15" customHeight="1" x14ac:dyDescent="0.25">
      <c r="A50" s="625" t="s">
        <v>147</v>
      </c>
      <c r="B50" s="535"/>
      <c r="C50" s="32">
        <v>2014</v>
      </c>
      <c r="D50" s="101"/>
      <c r="E50" s="37"/>
      <c r="F50" s="34"/>
      <c r="G50" s="34"/>
      <c r="H50" s="34"/>
      <c r="I50" s="34"/>
      <c r="J50" s="34"/>
      <c r="K50" s="38"/>
    </row>
    <row r="51" spans="1:16" x14ac:dyDescent="0.25">
      <c r="A51" s="534"/>
      <c r="B51" s="535"/>
      <c r="C51" s="32">
        <v>2015</v>
      </c>
      <c r="D51" s="101"/>
      <c r="E51" s="37"/>
      <c r="F51" s="34"/>
      <c r="G51" s="34"/>
      <c r="H51" s="34"/>
      <c r="I51" s="34"/>
      <c r="J51" s="34"/>
      <c r="K51" s="38"/>
    </row>
    <row r="52" spans="1:16" x14ac:dyDescent="0.25">
      <c r="A52" s="534"/>
      <c r="B52" s="535"/>
      <c r="C52" s="32">
        <v>2016</v>
      </c>
      <c r="D52" s="101"/>
      <c r="E52" s="37"/>
      <c r="F52" s="34"/>
      <c r="G52" s="34"/>
      <c r="H52" s="34"/>
      <c r="I52" s="34"/>
      <c r="J52" s="34"/>
      <c r="K52" s="38"/>
    </row>
    <row r="53" spans="1:16" x14ac:dyDescent="0.25">
      <c r="A53" s="534"/>
      <c r="B53" s="535"/>
      <c r="C53" s="32">
        <v>2017</v>
      </c>
      <c r="D53" s="102"/>
      <c r="E53" s="42"/>
      <c r="F53" s="40"/>
      <c r="G53" s="40"/>
      <c r="H53" s="40"/>
      <c r="I53" s="40"/>
      <c r="J53" s="40"/>
      <c r="K53" s="43"/>
    </row>
    <row r="54" spans="1:16" x14ac:dyDescent="0.25">
      <c r="A54" s="534"/>
      <c r="B54" s="535"/>
      <c r="C54" s="264">
        <v>2018</v>
      </c>
      <c r="D54" s="102">
        <v>0</v>
      </c>
      <c r="E54" s="37"/>
      <c r="F54" s="34"/>
      <c r="G54" s="34"/>
      <c r="H54" s="34"/>
      <c r="I54" s="34"/>
      <c r="J54" s="34"/>
      <c r="K54" s="38"/>
    </row>
    <row r="55" spans="1:16" x14ac:dyDescent="0.25">
      <c r="A55" s="534"/>
      <c r="B55" s="535"/>
      <c r="C55" s="32">
        <v>2019</v>
      </c>
      <c r="D55" s="101"/>
      <c r="E55" s="37"/>
      <c r="F55" s="34"/>
      <c r="G55" s="34"/>
      <c r="H55" s="34"/>
      <c r="I55" s="34"/>
      <c r="J55" s="34"/>
      <c r="K55" s="38"/>
    </row>
    <row r="56" spans="1:16" x14ac:dyDescent="0.25">
      <c r="A56" s="534"/>
      <c r="B56" s="535"/>
      <c r="C56" s="32">
        <v>2020</v>
      </c>
      <c r="D56" s="101"/>
      <c r="E56" s="37"/>
      <c r="F56" s="34"/>
      <c r="G56" s="34"/>
      <c r="H56" s="34"/>
      <c r="I56" s="34"/>
      <c r="J56" s="34"/>
      <c r="K56" s="38"/>
    </row>
    <row r="57" spans="1:16" ht="94.9" customHeight="1" thickBot="1" x14ac:dyDescent="0.3">
      <c r="A57" s="536"/>
      <c r="B57" s="537"/>
      <c r="C57" s="50" t="s">
        <v>14</v>
      </c>
      <c r="D57" s="103">
        <f t="shared" ref="D57:I57" si="3">SUM(D50:D56)</f>
        <v>0</v>
      </c>
      <c r="E57" s="280">
        <f t="shared" si="3"/>
        <v>0</v>
      </c>
      <c r="F57" s="266">
        <f t="shared" si="3"/>
        <v>0</v>
      </c>
      <c r="G57" s="266">
        <f t="shared" si="3"/>
        <v>0</v>
      </c>
      <c r="H57" s="266">
        <f t="shared" si="3"/>
        <v>0</v>
      </c>
      <c r="I57" s="266">
        <f t="shared" si="3"/>
        <v>0</v>
      </c>
      <c r="J57" s="266">
        <f>SUM(J50:J56)</f>
        <v>0</v>
      </c>
      <c r="K57" s="281">
        <f>SUM(K50:K56)</f>
        <v>0</v>
      </c>
    </row>
    <row r="58" spans="1:16" x14ac:dyDescent="0.25">
      <c r="B58" s="10"/>
    </row>
    <row r="59" spans="1:16" ht="21" x14ac:dyDescent="0.35">
      <c r="A59" s="104" t="s">
        <v>36</v>
      </c>
      <c r="B59" s="105"/>
      <c r="C59" s="104"/>
      <c r="D59" s="106"/>
      <c r="E59" s="106"/>
      <c r="F59" s="106"/>
      <c r="G59" s="106"/>
      <c r="H59" s="106"/>
      <c r="I59" s="106"/>
      <c r="J59" s="106"/>
      <c r="K59" s="106"/>
      <c r="L59" s="106"/>
      <c r="M59" s="11"/>
      <c r="N59" s="9"/>
      <c r="O59" s="9"/>
      <c r="P59" s="9"/>
    </row>
    <row r="60" spans="1:16" s="9" customFormat="1" ht="15" customHeight="1" thickBot="1" x14ac:dyDescent="0.4">
      <c r="A60" s="107"/>
      <c r="B60" s="108"/>
      <c r="M60" s="11"/>
    </row>
    <row r="61" spans="1:16" s="11" customFormat="1" x14ac:dyDescent="0.25">
      <c r="A61" s="558" t="s">
        <v>37</v>
      </c>
      <c r="B61" s="560" t="s">
        <v>38</v>
      </c>
      <c r="C61" s="562" t="s">
        <v>6</v>
      </c>
      <c r="D61" s="109"/>
      <c r="E61" s="110"/>
      <c r="F61" s="111" t="s">
        <v>39</v>
      </c>
      <c r="G61" s="112"/>
      <c r="H61" s="112"/>
      <c r="I61" s="112"/>
      <c r="J61" s="112"/>
      <c r="K61" s="112"/>
      <c r="L61" s="113"/>
      <c r="N61" s="114"/>
    </row>
    <row r="62" spans="1:16" s="11" customFormat="1" ht="90" customHeight="1" x14ac:dyDescent="0.25">
      <c r="A62" s="559"/>
      <c r="B62" s="561"/>
      <c r="C62" s="563"/>
      <c r="D62" s="115" t="s">
        <v>40</v>
      </c>
      <c r="E62" s="116" t="s">
        <v>41</v>
      </c>
      <c r="F62" s="117" t="s">
        <v>15</v>
      </c>
      <c r="G62" s="118" t="s">
        <v>16</v>
      </c>
      <c r="H62" s="118" t="s">
        <v>17</v>
      </c>
      <c r="I62" s="119" t="s">
        <v>18</v>
      </c>
      <c r="J62" s="119" t="s">
        <v>29</v>
      </c>
      <c r="K62" s="120" t="s">
        <v>20</v>
      </c>
      <c r="L62" s="121" t="s">
        <v>21</v>
      </c>
    </row>
    <row r="63" spans="1:16" x14ac:dyDescent="0.25">
      <c r="A63" s="534" t="s">
        <v>148</v>
      </c>
      <c r="B63" s="535"/>
      <c r="C63" s="32">
        <v>2014</v>
      </c>
      <c r="D63" s="33"/>
      <c r="E63" s="34"/>
      <c r="F63" s="122"/>
      <c r="G63" s="123"/>
      <c r="H63" s="123"/>
      <c r="I63" s="123"/>
      <c r="J63" s="123"/>
      <c r="K63" s="123"/>
      <c r="L63" s="124"/>
      <c r="M63" s="11"/>
    </row>
    <row r="64" spans="1:16" x14ac:dyDescent="0.25">
      <c r="A64" s="534"/>
      <c r="B64" s="535"/>
      <c r="C64" s="32">
        <v>2015</v>
      </c>
      <c r="D64" s="33"/>
      <c r="E64" s="34"/>
      <c r="F64" s="122"/>
      <c r="G64" s="123"/>
      <c r="H64" s="123"/>
      <c r="I64" s="123"/>
      <c r="J64" s="123"/>
      <c r="K64" s="123"/>
      <c r="L64" s="124"/>
      <c r="M64" s="11"/>
    </row>
    <row r="65" spans="1:15" x14ac:dyDescent="0.25">
      <c r="A65" s="534"/>
      <c r="B65" s="535"/>
      <c r="C65" s="32">
        <v>2016</v>
      </c>
      <c r="D65" s="33"/>
      <c r="E65" s="34"/>
      <c r="F65" s="122"/>
      <c r="G65" s="123"/>
      <c r="H65" s="123"/>
      <c r="I65" s="123"/>
      <c r="J65" s="123"/>
      <c r="K65" s="123"/>
      <c r="L65" s="124"/>
      <c r="M65" s="11"/>
    </row>
    <row r="66" spans="1:15" x14ac:dyDescent="0.25">
      <c r="A66" s="534"/>
      <c r="B66" s="535"/>
      <c r="C66" s="32">
        <v>2017</v>
      </c>
      <c r="D66" s="39"/>
      <c r="E66" s="40"/>
      <c r="F66" s="125"/>
      <c r="G66" s="126"/>
      <c r="H66" s="126"/>
      <c r="I66" s="126"/>
      <c r="J66" s="126"/>
      <c r="K66" s="126"/>
      <c r="L66" s="127"/>
      <c r="M66" s="11"/>
    </row>
    <row r="67" spans="1:15" x14ac:dyDescent="0.25">
      <c r="A67" s="534"/>
      <c r="B67" s="535"/>
      <c r="C67" s="264">
        <v>2018</v>
      </c>
      <c r="D67" s="33">
        <v>1</v>
      </c>
      <c r="E67" s="34">
        <v>10</v>
      </c>
      <c r="F67" s="122"/>
      <c r="G67" s="123"/>
      <c r="H67" s="123"/>
      <c r="I67" s="123"/>
      <c r="J67" s="123"/>
      <c r="K67" s="123"/>
      <c r="L67" s="124">
        <v>1</v>
      </c>
      <c r="M67" s="11"/>
    </row>
    <row r="68" spans="1:15" x14ac:dyDescent="0.25">
      <c r="A68" s="534"/>
      <c r="B68" s="535"/>
      <c r="C68" s="32">
        <v>2019</v>
      </c>
      <c r="D68" s="33"/>
      <c r="E68" s="34"/>
      <c r="F68" s="122"/>
      <c r="G68" s="123"/>
      <c r="H68" s="123"/>
      <c r="I68" s="123"/>
      <c r="J68" s="123"/>
      <c r="K68" s="123"/>
      <c r="L68" s="124"/>
      <c r="M68" s="11"/>
    </row>
    <row r="69" spans="1:15" x14ac:dyDescent="0.25">
      <c r="A69" s="534"/>
      <c r="B69" s="535"/>
      <c r="C69" s="32">
        <v>2020</v>
      </c>
      <c r="D69" s="33"/>
      <c r="E69" s="34"/>
      <c r="F69" s="122"/>
      <c r="G69" s="123"/>
      <c r="H69" s="123"/>
      <c r="I69" s="123"/>
      <c r="J69" s="123"/>
      <c r="K69" s="123"/>
      <c r="L69" s="124"/>
      <c r="M69" s="11"/>
    </row>
    <row r="70" spans="1:15" ht="33" customHeight="1" thickBot="1" x14ac:dyDescent="0.3">
      <c r="A70" s="536"/>
      <c r="B70" s="537"/>
      <c r="C70" s="50" t="s">
        <v>14</v>
      </c>
      <c r="D70" s="265">
        <f t="shared" ref="D70:K70" si="4">SUM(D63:D69)</f>
        <v>1</v>
      </c>
      <c r="E70" s="266">
        <f t="shared" si="4"/>
        <v>10</v>
      </c>
      <c r="F70" s="280">
        <f t="shared" si="4"/>
        <v>0</v>
      </c>
      <c r="G70" s="266">
        <f t="shared" si="4"/>
        <v>0</v>
      </c>
      <c r="H70" s="266">
        <f t="shared" si="4"/>
        <v>0</v>
      </c>
      <c r="I70" s="266">
        <f t="shared" si="4"/>
        <v>0</v>
      </c>
      <c r="J70" s="266">
        <f t="shared" si="4"/>
        <v>0</v>
      </c>
      <c r="K70" s="266">
        <f t="shared" si="4"/>
        <v>0</v>
      </c>
      <c r="L70" s="281">
        <f>SUM(L63:L69)</f>
        <v>1</v>
      </c>
      <c r="M70" s="11"/>
    </row>
    <row r="71" spans="1:15" ht="15.75" thickBot="1" x14ac:dyDescent="0.3">
      <c r="A71" s="131"/>
      <c r="B71" s="132"/>
      <c r="D71" s="133"/>
      <c r="E71" s="134"/>
      <c r="F71" s="134"/>
      <c r="I71" s="135"/>
      <c r="J71" s="135"/>
      <c r="K71" s="135"/>
      <c r="L71" s="135"/>
      <c r="M71" s="135"/>
      <c r="N71" s="135"/>
      <c r="O71" s="135"/>
    </row>
    <row r="72" spans="1:15" s="11" customFormat="1" ht="18.95" customHeight="1" x14ac:dyDescent="0.25">
      <c r="A72" s="558" t="s">
        <v>42</v>
      </c>
      <c r="B72" s="560" t="s">
        <v>43</v>
      </c>
      <c r="C72" s="562" t="s">
        <v>6</v>
      </c>
      <c r="D72" s="564" t="s">
        <v>44</v>
      </c>
      <c r="E72" s="111" t="s">
        <v>45</v>
      </c>
      <c r="F72" s="112"/>
      <c r="G72" s="112"/>
      <c r="H72" s="112"/>
      <c r="I72" s="112"/>
      <c r="J72" s="112"/>
      <c r="K72" s="113"/>
      <c r="L72"/>
      <c r="M72" s="114"/>
    </row>
    <row r="73" spans="1:15" s="11" customFormat="1" ht="93.75" customHeight="1" x14ac:dyDescent="0.25">
      <c r="A73" s="559"/>
      <c r="B73" s="561"/>
      <c r="C73" s="563"/>
      <c r="D73" s="565"/>
      <c r="E73" s="117" t="s">
        <v>15</v>
      </c>
      <c r="F73" s="136" t="s">
        <v>16</v>
      </c>
      <c r="G73" s="118" t="s">
        <v>17</v>
      </c>
      <c r="H73" s="119" t="s">
        <v>18</v>
      </c>
      <c r="I73" s="119" t="s">
        <v>29</v>
      </c>
      <c r="J73" s="120" t="s">
        <v>20</v>
      </c>
      <c r="K73" s="121" t="s">
        <v>21</v>
      </c>
      <c r="L73"/>
    </row>
    <row r="74" spans="1:15" ht="15" customHeight="1" x14ac:dyDescent="0.25">
      <c r="A74" s="631" t="s">
        <v>149</v>
      </c>
      <c r="B74" s="632"/>
      <c r="C74" s="32">
        <v>2014</v>
      </c>
      <c r="D74" s="34"/>
      <c r="E74" s="122"/>
      <c r="F74" s="123"/>
      <c r="G74" s="123"/>
      <c r="H74" s="123"/>
      <c r="I74" s="123"/>
      <c r="J74" s="123"/>
      <c r="K74" s="124"/>
    </row>
    <row r="75" spans="1:15" x14ac:dyDescent="0.25">
      <c r="A75" s="633"/>
      <c r="B75" s="632"/>
      <c r="C75" s="32">
        <v>2015</v>
      </c>
      <c r="D75" s="34"/>
      <c r="E75" s="122"/>
      <c r="F75" s="123"/>
      <c r="G75" s="123"/>
      <c r="H75" s="123"/>
      <c r="I75" s="123"/>
      <c r="J75" s="123"/>
      <c r="K75" s="124"/>
    </row>
    <row r="76" spans="1:15" x14ac:dyDescent="0.25">
      <c r="A76" s="633"/>
      <c r="B76" s="632"/>
      <c r="C76" s="32">
        <v>2016</v>
      </c>
      <c r="D76" s="34"/>
      <c r="E76" s="122"/>
      <c r="F76" s="123"/>
      <c r="G76" s="123"/>
      <c r="H76" s="123"/>
      <c r="I76" s="123"/>
      <c r="J76" s="123"/>
      <c r="K76" s="124"/>
    </row>
    <row r="77" spans="1:15" x14ac:dyDescent="0.25">
      <c r="A77" s="633"/>
      <c r="B77" s="632"/>
      <c r="C77" s="32">
        <v>2017</v>
      </c>
      <c r="D77" s="40"/>
      <c r="E77" s="125"/>
      <c r="F77" s="126"/>
      <c r="G77" s="126"/>
      <c r="H77" s="126"/>
      <c r="I77" s="126"/>
      <c r="J77" s="126"/>
      <c r="K77" s="127"/>
    </row>
    <row r="78" spans="1:15" x14ac:dyDescent="0.25">
      <c r="A78" s="633"/>
      <c r="B78" s="632"/>
      <c r="C78" s="264">
        <v>2018</v>
      </c>
      <c r="D78" s="34">
        <v>29</v>
      </c>
      <c r="E78" s="122"/>
      <c r="F78" s="123"/>
      <c r="G78" s="123"/>
      <c r="H78" s="123"/>
      <c r="I78" s="123"/>
      <c r="J78" s="123"/>
      <c r="K78" s="124">
        <v>29</v>
      </c>
    </row>
    <row r="79" spans="1:15" x14ac:dyDescent="0.25">
      <c r="A79" s="633"/>
      <c r="B79" s="632"/>
      <c r="C79" s="32">
        <v>2019</v>
      </c>
      <c r="D79" s="34"/>
      <c r="E79" s="122"/>
      <c r="F79" s="123"/>
      <c r="G79" s="123"/>
      <c r="H79" s="123"/>
      <c r="I79" s="123"/>
      <c r="J79" s="123"/>
      <c r="K79" s="124"/>
    </row>
    <row r="80" spans="1:15" x14ac:dyDescent="0.25">
      <c r="A80" s="633"/>
      <c r="B80" s="632"/>
      <c r="C80" s="32">
        <v>2020</v>
      </c>
      <c r="D80" s="34"/>
      <c r="E80" s="122"/>
      <c r="F80" s="123"/>
      <c r="G80" s="123"/>
      <c r="H80" s="123"/>
      <c r="I80" s="123"/>
      <c r="J80" s="123"/>
      <c r="K80" s="124"/>
    </row>
    <row r="81" spans="1:17" ht="42" customHeight="1" thickBot="1" x14ac:dyDescent="0.3">
      <c r="A81" s="634"/>
      <c r="B81" s="635"/>
      <c r="C81" s="50" t="s">
        <v>14</v>
      </c>
      <c r="D81" s="266">
        <f t="shared" ref="D81:J81" si="5">SUM(D74:D80)</f>
        <v>29</v>
      </c>
      <c r="E81" s="280">
        <f t="shared" si="5"/>
        <v>0</v>
      </c>
      <c r="F81" s="266">
        <f t="shared" si="5"/>
        <v>0</v>
      </c>
      <c r="G81" s="266">
        <f t="shared" si="5"/>
        <v>0</v>
      </c>
      <c r="H81" s="266">
        <f t="shared" si="5"/>
        <v>0</v>
      </c>
      <c r="I81" s="266">
        <f t="shared" si="5"/>
        <v>0</v>
      </c>
      <c r="J81" s="266">
        <f t="shared" si="5"/>
        <v>0</v>
      </c>
      <c r="K81" s="281">
        <f>SUM(K74:K80)</f>
        <v>29</v>
      </c>
    </row>
    <row r="82" spans="1:17" s="9" customFormat="1" ht="15" customHeight="1" thickBot="1" x14ac:dyDescent="0.4">
      <c r="A82" s="107"/>
      <c r="B82" s="108"/>
    </row>
    <row r="83" spans="1:17" s="9" customFormat="1" ht="24.95" customHeight="1" x14ac:dyDescent="0.25">
      <c r="A83" s="558" t="s">
        <v>46</v>
      </c>
      <c r="B83" s="560" t="s">
        <v>43</v>
      </c>
      <c r="C83" s="562" t="s">
        <v>6</v>
      </c>
      <c r="D83" s="566" t="s">
        <v>47</v>
      </c>
      <c r="E83" s="111" t="s">
        <v>48</v>
      </c>
      <c r="F83" s="112"/>
      <c r="G83" s="112"/>
      <c r="H83" s="112"/>
      <c r="I83" s="112"/>
      <c r="J83" s="112"/>
      <c r="K83" s="113"/>
      <c r="L83" s="11"/>
    </row>
    <row r="84" spans="1:17" s="11" customFormat="1" ht="93.75" customHeight="1" x14ac:dyDescent="0.25">
      <c r="A84" s="559"/>
      <c r="B84" s="561"/>
      <c r="C84" s="563"/>
      <c r="D84" s="567"/>
      <c r="E84" s="117" t="s">
        <v>15</v>
      </c>
      <c r="F84" s="118" t="s">
        <v>16</v>
      </c>
      <c r="G84" s="118" t="s">
        <v>17</v>
      </c>
      <c r="H84" s="119" t="s">
        <v>18</v>
      </c>
      <c r="I84" s="119" t="s">
        <v>29</v>
      </c>
      <c r="J84" s="120" t="s">
        <v>20</v>
      </c>
      <c r="K84" s="121" t="s">
        <v>21</v>
      </c>
      <c r="L84"/>
    </row>
    <row r="85" spans="1:17" s="11" customFormat="1" ht="18" customHeight="1" x14ac:dyDescent="0.25">
      <c r="A85" s="625" t="s">
        <v>150</v>
      </c>
      <c r="B85" s="535"/>
      <c r="C85" s="32">
        <v>2014</v>
      </c>
      <c r="D85" s="34"/>
      <c r="E85" s="122"/>
      <c r="F85" s="123"/>
      <c r="G85" s="123"/>
      <c r="H85" s="123"/>
      <c r="I85" s="123"/>
      <c r="J85" s="123"/>
      <c r="K85" s="124"/>
      <c r="L85"/>
    </row>
    <row r="86" spans="1:17" ht="15.95" customHeight="1" x14ac:dyDescent="0.25">
      <c r="A86" s="534"/>
      <c r="B86" s="535"/>
      <c r="C86" s="32">
        <v>2015</v>
      </c>
      <c r="D86" s="34"/>
      <c r="E86" s="122"/>
      <c r="F86" s="123"/>
      <c r="G86" s="123"/>
      <c r="H86" s="123"/>
      <c r="I86" s="123"/>
      <c r="J86" s="123"/>
      <c r="K86" s="124"/>
    </row>
    <row r="87" spans="1:17" x14ac:dyDescent="0.25">
      <c r="A87" s="534"/>
      <c r="B87" s="535"/>
      <c r="C87" s="32">
        <v>2016</v>
      </c>
      <c r="D87" s="34"/>
      <c r="E87" s="122"/>
      <c r="F87" s="123"/>
      <c r="G87" s="123"/>
      <c r="H87" s="123"/>
      <c r="I87" s="123"/>
      <c r="J87" s="123"/>
      <c r="K87" s="124"/>
    </row>
    <row r="88" spans="1:17" x14ac:dyDescent="0.25">
      <c r="A88" s="534"/>
      <c r="B88" s="535"/>
      <c r="C88" s="32">
        <v>2017</v>
      </c>
      <c r="D88" s="40"/>
      <c r="E88" s="125"/>
      <c r="F88" s="126"/>
      <c r="G88" s="126"/>
      <c r="H88" s="126"/>
      <c r="I88" s="126"/>
      <c r="J88" s="126"/>
      <c r="K88" s="127"/>
    </row>
    <row r="89" spans="1:17" x14ac:dyDescent="0.25">
      <c r="A89" s="534"/>
      <c r="B89" s="535"/>
      <c r="C89" s="264">
        <v>2018</v>
      </c>
      <c r="D89" s="34"/>
      <c r="E89" s="122"/>
      <c r="F89" s="123"/>
      <c r="G89" s="123"/>
      <c r="H89" s="123"/>
      <c r="I89" s="123"/>
      <c r="J89" s="123"/>
      <c r="K89" s="124"/>
      <c r="L89" s="11"/>
    </row>
    <row r="90" spans="1:17" x14ac:dyDescent="0.25">
      <c r="A90" s="534"/>
      <c r="B90" s="535"/>
      <c r="C90" s="32">
        <v>2019</v>
      </c>
      <c r="D90" s="34"/>
      <c r="E90" s="122"/>
      <c r="F90" s="123"/>
      <c r="G90" s="123"/>
      <c r="H90" s="123"/>
      <c r="I90" s="123"/>
      <c r="J90" s="123"/>
      <c r="K90" s="124"/>
    </row>
    <row r="91" spans="1:17" x14ac:dyDescent="0.25">
      <c r="A91" s="534"/>
      <c r="B91" s="535"/>
      <c r="C91" s="32">
        <v>2020</v>
      </c>
      <c r="D91" s="34"/>
      <c r="E91" s="122"/>
      <c r="F91" s="123"/>
      <c r="G91" s="123"/>
      <c r="H91" s="123"/>
      <c r="I91" s="123"/>
      <c r="J91" s="123"/>
      <c r="K91" s="124"/>
    </row>
    <row r="92" spans="1:17" ht="18.95" customHeight="1" thickBot="1" x14ac:dyDescent="0.3">
      <c r="A92" s="536"/>
      <c r="B92" s="537"/>
      <c r="C92" s="50" t="s">
        <v>14</v>
      </c>
      <c r="D92" s="266">
        <f t="shared" ref="D92:J92" si="6">SUM(D85:D91)</f>
        <v>0</v>
      </c>
      <c r="E92" s="280">
        <f t="shared" si="6"/>
        <v>0</v>
      </c>
      <c r="F92" s="266">
        <f t="shared" si="6"/>
        <v>0</v>
      </c>
      <c r="G92" s="266">
        <f t="shared" si="6"/>
        <v>0</v>
      </c>
      <c r="H92" s="266">
        <f t="shared" si="6"/>
        <v>0</v>
      </c>
      <c r="I92" s="266">
        <f t="shared" si="6"/>
        <v>0</v>
      </c>
      <c r="J92" s="266">
        <f t="shared" si="6"/>
        <v>0</v>
      </c>
      <c r="K92" s="281">
        <f>SUM(K85:K91)</f>
        <v>0</v>
      </c>
    </row>
    <row r="93" spans="1:17" s="9" customFormat="1" ht="18.75" customHeight="1" thickBot="1" x14ac:dyDescent="0.4">
      <c r="A93" s="107"/>
      <c r="B93" s="108"/>
      <c r="L93" s="137"/>
      <c r="M93" s="137"/>
      <c r="N93" s="137"/>
      <c r="O93" s="137"/>
      <c r="P93" s="137"/>
      <c r="Q93" s="137"/>
    </row>
    <row r="94" spans="1:17" x14ac:dyDescent="0.25">
      <c r="A94" s="568" t="s">
        <v>49</v>
      </c>
      <c r="B94" s="560" t="s">
        <v>50</v>
      </c>
      <c r="C94" s="295" t="s">
        <v>6</v>
      </c>
      <c r="D94" s="139" t="s">
        <v>51</v>
      </c>
      <c r="E94" s="140"/>
      <c r="F94" s="140"/>
      <c r="G94" s="141"/>
      <c r="H94" s="11"/>
      <c r="I94" s="11"/>
      <c r="J94" s="11"/>
      <c r="K94" s="11"/>
      <c r="O94" s="9"/>
      <c r="P94" s="9"/>
    </row>
    <row r="95" spans="1:17" s="9" customFormat="1" ht="64.5" x14ac:dyDescent="0.25">
      <c r="A95" s="559"/>
      <c r="B95" s="561"/>
      <c r="C95" s="296"/>
      <c r="D95" s="115" t="s">
        <v>52</v>
      </c>
      <c r="E95" s="116" t="s">
        <v>53</v>
      </c>
      <c r="F95" s="116" t="s">
        <v>54</v>
      </c>
      <c r="G95" s="143" t="s">
        <v>14</v>
      </c>
      <c r="H95" s="11"/>
      <c r="I95" s="11"/>
      <c r="J95" s="11"/>
      <c r="K95" s="11"/>
      <c r="L95" s="11"/>
      <c r="M95" s="11"/>
      <c r="N95" s="11"/>
    </row>
    <row r="96" spans="1:17" s="11" customFormat="1" ht="26.25" customHeight="1" x14ac:dyDescent="0.25">
      <c r="A96" s="626" t="s">
        <v>151</v>
      </c>
      <c r="B96" s="627"/>
      <c r="C96" s="32">
        <v>2015</v>
      </c>
      <c r="D96" s="33"/>
      <c r="E96" s="34"/>
      <c r="F96" s="34"/>
      <c r="G96" s="255">
        <f t="shared" ref="G96:G101" si="7">SUM(D96:F96)</f>
        <v>0</v>
      </c>
      <c r="H96"/>
      <c r="I96"/>
      <c r="J96"/>
      <c r="K96"/>
    </row>
    <row r="97" spans="1:16" s="11" customFormat="1" ht="16.5" customHeight="1" x14ac:dyDescent="0.25">
      <c r="A97" s="628"/>
      <c r="B97" s="627"/>
      <c r="C97" s="32">
        <v>2016</v>
      </c>
      <c r="D97" s="33"/>
      <c r="E97" s="34"/>
      <c r="F97" s="34"/>
      <c r="G97" s="255">
        <f t="shared" si="7"/>
        <v>0</v>
      </c>
      <c r="H97"/>
      <c r="I97"/>
      <c r="J97"/>
      <c r="K97"/>
      <c r="L97"/>
      <c r="M97"/>
      <c r="N97"/>
    </row>
    <row r="98" spans="1:16" x14ac:dyDescent="0.25">
      <c r="A98" s="628"/>
      <c r="B98" s="627"/>
      <c r="C98" s="32">
        <v>2017</v>
      </c>
      <c r="D98" s="39"/>
      <c r="E98" s="40"/>
      <c r="F98" s="40"/>
      <c r="G98" s="255">
        <f t="shared" si="7"/>
        <v>0</v>
      </c>
    </row>
    <row r="99" spans="1:16" x14ac:dyDescent="0.25">
      <c r="A99" s="628"/>
      <c r="B99" s="627"/>
      <c r="C99" s="264">
        <v>2018</v>
      </c>
      <c r="D99" s="33">
        <v>153</v>
      </c>
      <c r="E99" s="34">
        <v>327</v>
      </c>
      <c r="F99" s="34"/>
      <c r="G99" s="255">
        <f t="shared" si="7"/>
        <v>480</v>
      </c>
    </row>
    <row r="100" spans="1:16" x14ac:dyDescent="0.25">
      <c r="A100" s="628"/>
      <c r="B100" s="627"/>
      <c r="C100" s="32">
        <v>2019</v>
      </c>
      <c r="D100" s="33"/>
      <c r="E100" s="34"/>
      <c r="F100" s="34"/>
      <c r="G100" s="255">
        <f t="shared" si="7"/>
        <v>0</v>
      </c>
    </row>
    <row r="101" spans="1:16" x14ac:dyDescent="0.25">
      <c r="A101" s="628"/>
      <c r="B101" s="627"/>
      <c r="C101" s="32">
        <v>2020</v>
      </c>
      <c r="D101" s="33"/>
      <c r="E101" s="34"/>
      <c r="F101" s="34"/>
      <c r="G101" s="255">
        <f t="shared" si="7"/>
        <v>0</v>
      </c>
    </row>
    <row r="102" spans="1:16" ht="15.75" thickBot="1" x14ac:dyDescent="0.3">
      <c r="A102" s="629"/>
      <c r="B102" s="630"/>
      <c r="C102" s="50" t="s">
        <v>14</v>
      </c>
      <c r="D102" s="265">
        <f>SUM(D95:D101)</f>
        <v>153</v>
      </c>
      <c r="E102" s="266">
        <f>SUM(E95:E101)</f>
        <v>327</v>
      </c>
      <c r="F102" s="266">
        <f>SUM(F95:F101)</f>
        <v>0</v>
      </c>
      <c r="G102" s="145">
        <f>SUM(G95:G101)</f>
        <v>480</v>
      </c>
    </row>
    <row r="103" spans="1:16" x14ac:dyDescent="0.25">
      <c r="A103" s="146"/>
      <c r="B103" s="147"/>
      <c r="C103" s="148"/>
      <c r="D103" s="148"/>
      <c r="E103" s="149"/>
      <c r="F103" s="149"/>
      <c r="G103" s="149"/>
      <c r="H103" s="149"/>
      <c r="I103" s="149"/>
      <c r="J103" s="150"/>
      <c r="K103" s="137"/>
    </row>
    <row r="104" spans="1:16" ht="21" x14ac:dyDescent="0.35">
      <c r="A104" s="151" t="s">
        <v>55</v>
      </c>
      <c r="B104" s="152"/>
      <c r="C104" s="151"/>
      <c r="D104" s="153"/>
      <c r="E104" s="153"/>
      <c r="F104" s="153"/>
      <c r="G104" s="153"/>
      <c r="H104" s="153"/>
      <c r="I104" s="153"/>
      <c r="J104" s="153"/>
      <c r="K104" s="153"/>
      <c r="L104" s="153"/>
      <c r="O104" s="9"/>
      <c r="P104" s="9"/>
    </row>
    <row r="105" spans="1:16" ht="15.75" thickBot="1" x14ac:dyDescent="0.3">
      <c r="B105" s="10"/>
    </row>
    <row r="106" spans="1:16" s="11" customFormat="1" ht="47.25" customHeight="1" x14ac:dyDescent="0.25">
      <c r="A106" s="569" t="s">
        <v>56</v>
      </c>
      <c r="B106" s="571" t="s">
        <v>57</v>
      </c>
      <c r="C106" s="573" t="s">
        <v>6</v>
      </c>
      <c r="D106" s="154" t="s">
        <v>58</v>
      </c>
      <c r="E106" s="154"/>
      <c r="F106" s="155"/>
      <c r="G106" s="155"/>
      <c r="H106" s="156" t="s">
        <v>59</v>
      </c>
      <c r="I106" s="154"/>
      <c r="J106" s="157"/>
    </row>
    <row r="107" spans="1:16" s="11" customFormat="1" ht="87.75" customHeight="1" x14ac:dyDescent="0.25">
      <c r="A107" s="570"/>
      <c r="B107" s="572"/>
      <c r="C107" s="574"/>
      <c r="D107" s="158" t="s">
        <v>60</v>
      </c>
      <c r="E107" s="159" t="s">
        <v>61</v>
      </c>
      <c r="F107" s="160" t="s">
        <v>62</v>
      </c>
      <c r="G107" s="161" t="s">
        <v>63</v>
      </c>
      <c r="H107" s="158" t="s">
        <v>64</v>
      </c>
      <c r="I107" s="159" t="s">
        <v>65</v>
      </c>
      <c r="J107" s="162" t="s">
        <v>66</v>
      </c>
    </row>
    <row r="108" spans="1:16" x14ac:dyDescent="0.25">
      <c r="A108" s="625" t="s">
        <v>147</v>
      </c>
      <c r="B108" s="535"/>
      <c r="C108" s="163">
        <v>2014</v>
      </c>
      <c r="D108" s="164"/>
      <c r="E108" s="123"/>
      <c r="F108" s="165"/>
      <c r="G108" s="166">
        <f>SUM(D108:F108)</f>
        <v>0</v>
      </c>
      <c r="H108" s="164"/>
      <c r="I108" s="123"/>
      <c r="J108" s="124"/>
    </row>
    <row r="109" spans="1:16" x14ac:dyDescent="0.25">
      <c r="A109" s="534"/>
      <c r="B109" s="535"/>
      <c r="C109" s="163">
        <v>2015</v>
      </c>
      <c r="D109" s="164"/>
      <c r="E109" s="123"/>
      <c r="F109" s="165"/>
      <c r="G109" s="166">
        <f t="shared" ref="G109:G114" si="8">SUM(D109:F109)</f>
        <v>0</v>
      </c>
      <c r="H109" s="164"/>
      <c r="I109" s="123"/>
      <c r="J109" s="124"/>
    </row>
    <row r="110" spans="1:16" x14ac:dyDescent="0.25">
      <c r="A110" s="534"/>
      <c r="B110" s="535"/>
      <c r="C110" s="163">
        <v>2016</v>
      </c>
      <c r="D110" s="164"/>
      <c r="E110" s="123"/>
      <c r="F110" s="165"/>
      <c r="G110" s="166">
        <f t="shared" si="8"/>
        <v>0</v>
      </c>
      <c r="H110" s="164"/>
      <c r="I110" s="123"/>
      <c r="J110" s="124"/>
    </row>
    <row r="111" spans="1:16" x14ac:dyDescent="0.25">
      <c r="A111" s="534"/>
      <c r="B111" s="535"/>
      <c r="C111" s="163">
        <v>2017</v>
      </c>
      <c r="D111" s="167"/>
      <c r="E111" s="126"/>
      <c r="F111" s="168"/>
      <c r="G111" s="166">
        <f t="shared" si="8"/>
        <v>0</v>
      </c>
      <c r="H111" s="169"/>
      <c r="I111" s="170"/>
      <c r="J111" s="171"/>
    </row>
    <row r="112" spans="1:16" x14ac:dyDescent="0.25">
      <c r="A112" s="534"/>
      <c r="B112" s="535"/>
      <c r="C112" s="282">
        <v>2018</v>
      </c>
      <c r="D112" s="164"/>
      <c r="E112" s="123"/>
      <c r="F112" s="165"/>
      <c r="G112" s="166">
        <f t="shared" si="8"/>
        <v>0</v>
      </c>
      <c r="H112" s="164"/>
      <c r="I112" s="123"/>
      <c r="J112" s="124"/>
    </row>
    <row r="113" spans="1:19" x14ac:dyDescent="0.25">
      <c r="A113" s="534"/>
      <c r="B113" s="535"/>
      <c r="C113" s="163">
        <v>2019</v>
      </c>
      <c r="D113" s="164"/>
      <c r="E113" s="123"/>
      <c r="F113" s="165"/>
      <c r="G113" s="166">
        <f t="shared" si="8"/>
        <v>0</v>
      </c>
      <c r="H113" s="164"/>
      <c r="I113" s="123"/>
      <c r="J113" s="124"/>
    </row>
    <row r="114" spans="1:19" x14ac:dyDescent="0.25">
      <c r="A114" s="534"/>
      <c r="B114" s="535"/>
      <c r="C114" s="163">
        <v>2020</v>
      </c>
      <c r="D114" s="164"/>
      <c r="E114" s="123"/>
      <c r="F114" s="165"/>
      <c r="G114" s="166">
        <f t="shared" si="8"/>
        <v>0</v>
      </c>
      <c r="H114" s="164"/>
      <c r="I114" s="123"/>
      <c r="J114" s="124"/>
    </row>
    <row r="115" spans="1:19" ht="30.6" customHeight="1" thickBot="1" x14ac:dyDescent="0.3">
      <c r="A115" s="536"/>
      <c r="B115" s="537"/>
      <c r="C115" s="172" t="s">
        <v>14</v>
      </c>
      <c r="D115" s="265">
        <f t="shared" ref="D115:J115" si="9">SUM(D108:D114)</f>
        <v>0</v>
      </c>
      <c r="E115" s="266">
        <f t="shared" si="9"/>
        <v>0</v>
      </c>
      <c r="F115" s="283">
        <f t="shared" si="9"/>
        <v>0</v>
      </c>
      <c r="G115" s="283">
        <f t="shared" si="9"/>
        <v>0</v>
      </c>
      <c r="H115" s="265">
        <f t="shared" si="9"/>
        <v>0</v>
      </c>
      <c r="I115" s="266">
        <f t="shared" si="9"/>
        <v>0</v>
      </c>
      <c r="J115" s="281">
        <f t="shared" si="9"/>
        <v>0</v>
      </c>
    </row>
    <row r="116" spans="1:19" s="9" customFormat="1" ht="17.100000000000001" customHeight="1" thickBot="1" x14ac:dyDescent="0.3">
      <c r="A116" s="176"/>
      <c r="B116" s="147"/>
      <c r="C116" s="177"/>
      <c r="D116" s="178"/>
      <c r="E116" s="137"/>
      <c r="F116" s="137"/>
      <c r="G116" s="137"/>
      <c r="H116" s="179"/>
      <c r="I116" s="137"/>
      <c r="J116" s="137"/>
      <c r="K116" s="150"/>
    </row>
    <row r="117" spans="1:19" s="11" customFormat="1" ht="78" customHeight="1" x14ac:dyDescent="0.3">
      <c r="A117" s="180" t="s">
        <v>67</v>
      </c>
      <c r="B117" s="297" t="s">
        <v>38</v>
      </c>
      <c r="C117" s="182" t="s">
        <v>6</v>
      </c>
      <c r="D117" s="183" t="s">
        <v>68</v>
      </c>
      <c r="E117" s="184" t="s">
        <v>69</v>
      </c>
      <c r="F117" s="184" t="s">
        <v>70</v>
      </c>
      <c r="G117" s="184" t="s">
        <v>71</v>
      </c>
      <c r="H117" s="184" t="s">
        <v>72</v>
      </c>
      <c r="I117" s="185" t="s">
        <v>73</v>
      </c>
      <c r="J117" s="186" t="s">
        <v>74</v>
      </c>
      <c r="K117" s="186" t="s">
        <v>75</v>
      </c>
    </row>
    <row r="118" spans="1:19" x14ac:dyDescent="0.25">
      <c r="A118" s="625" t="s">
        <v>147</v>
      </c>
      <c r="B118" s="535"/>
      <c r="C118" s="32">
        <v>2014</v>
      </c>
      <c r="D118" s="122"/>
      <c r="E118" s="123"/>
      <c r="F118" s="123"/>
      <c r="G118" s="123"/>
      <c r="H118" s="123"/>
      <c r="I118" s="124"/>
      <c r="J118" s="187">
        <f t="shared" ref="J118:K124" si="10">D118+F118+H118</f>
        <v>0</v>
      </c>
      <c r="K118" s="187">
        <f t="shared" si="10"/>
        <v>0</v>
      </c>
    </row>
    <row r="119" spans="1:19" x14ac:dyDescent="0.25">
      <c r="A119" s="534"/>
      <c r="B119" s="535"/>
      <c r="C119" s="32">
        <v>2015</v>
      </c>
      <c r="D119" s="122"/>
      <c r="E119" s="123"/>
      <c r="F119" s="123"/>
      <c r="G119" s="123"/>
      <c r="H119" s="123"/>
      <c r="I119" s="124"/>
      <c r="J119" s="187">
        <f t="shared" si="10"/>
        <v>0</v>
      </c>
      <c r="K119" s="187">
        <f t="shared" si="10"/>
        <v>0</v>
      </c>
    </row>
    <row r="120" spans="1:19" x14ac:dyDescent="0.25">
      <c r="A120" s="534"/>
      <c r="B120" s="535"/>
      <c r="C120" s="32">
        <v>2016</v>
      </c>
      <c r="D120" s="122"/>
      <c r="E120" s="123"/>
      <c r="F120" s="123"/>
      <c r="G120" s="123"/>
      <c r="H120" s="123"/>
      <c r="I120" s="124"/>
      <c r="J120" s="187">
        <f t="shared" si="10"/>
        <v>0</v>
      </c>
      <c r="K120" s="187">
        <f t="shared" si="10"/>
        <v>0</v>
      </c>
    </row>
    <row r="121" spans="1:19" x14ac:dyDescent="0.25">
      <c r="A121" s="534"/>
      <c r="B121" s="535"/>
      <c r="C121" s="32">
        <v>2017</v>
      </c>
      <c r="D121" s="125"/>
      <c r="E121" s="126"/>
      <c r="F121" s="126"/>
      <c r="G121" s="126"/>
      <c r="H121" s="126"/>
      <c r="I121" s="127"/>
      <c r="J121" s="187">
        <f t="shared" si="10"/>
        <v>0</v>
      </c>
      <c r="K121" s="187">
        <f t="shared" si="10"/>
        <v>0</v>
      </c>
    </row>
    <row r="122" spans="1:19" x14ac:dyDescent="0.25">
      <c r="A122" s="534"/>
      <c r="B122" s="535"/>
      <c r="C122" s="264">
        <v>2018</v>
      </c>
      <c r="D122" s="122"/>
      <c r="E122" s="123"/>
      <c r="F122" s="123"/>
      <c r="G122" s="123"/>
      <c r="H122" s="123"/>
      <c r="I122" s="124"/>
      <c r="J122" s="187">
        <f t="shared" si="10"/>
        <v>0</v>
      </c>
      <c r="K122" s="187">
        <f t="shared" si="10"/>
        <v>0</v>
      </c>
    </row>
    <row r="123" spans="1:19" x14ac:dyDescent="0.25">
      <c r="A123" s="534"/>
      <c r="B123" s="535"/>
      <c r="C123" s="32">
        <v>2019</v>
      </c>
      <c r="D123" s="122"/>
      <c r="E123" s="123"/>
      <c r="F123" s="123"/>
      <c r="G123" s="123"/>
      <c r="H123" s="123"/>
      <c r="I123" s="124"/>
      <c r="J123" s="187">
        <f t="shared" si="10"/>
        <v>0</v>
      </c>
      <c r="K123" s="187">
        <f t="shared" si="10"/>
        <v>0</v>
      </c>
    </row>
    <row r="124" spans="1:19" x14ac:dyDescent="0.25">
      <c r="A124" s="534"/>
      <c r="B124" s="535"/>
      <c r="C124" s="32">
        <v>2020</v>
      </c>
      <c r="D124" s="122"/>
      <c r="E124" s="123"/>
      <c r="F124" s="123"/>
      <c r="G124" s="123"/>
      <c r="H124" s="123"/>
      <c r="I124" s="124"/>
      <c r="J124" s="187">
        <f t="shared" si="10"/>
        <v>0</v>
      </c>
      <c r="K124" s="187">
        <f t="shared" si="10"/>
        <v>0</v>
      </c>
    </row>
    <row r="125" spans="1:19" ht="51" customHeight="1" thickBot="1" x14ac:dyDescent="0.3">
      <c r="A125" s="536"/>
      <c r="B125" s="537"/>
      <c r="C125" s="50" t="s">
        <v>14</v>
      </c>
      <c r="D125" s="128"/>
      <c r="E125" s="129">
        <f>SUM(E118:E124)</f>
        <v>0</v>
      </c>
      <c r="F125" s="129"/>
      <c r="G125" s="129">
        <f>SUM(G118:G124)</f>
        <v>0</v>
      </c>
      <c r="H125" s="129"/>
      <c r="I125" s="130">
        <f>SUM(I118:I124)</f>
        <v>0</v>
      </c>
      <c r="J125" s="130">
        <f>SUM(J118:J124)</f>
        <v>0</v>
      </c>
      <c r="K125" s="130">
        <f>SUM(K118:K124)</f>
        <v>0</v>
      </c>
    </row>
    <row r="126" spans="1:19" s="9" customFormat="1" ht="18.95" customHeight="1" x14ac:dyDescent="0.25">
      <c r="A126" s="188"/>
      <c r="B126" s="147"/>
      <c r="C126" s="148"/>
      <c r="D126" s="148"/>
      <c r="E126" s="149"/>
      <c r="F126" s="149"/>
      <c r="G126" s="149"/>
      <c r="H126" s="137"/>
      <c r="I126" s="137"/>
      <c r="J126" s="137"/>
      <c r="K126" s="137"/>
      <c r="L126" s="137"/>
      <c r="M126" s="137"/>
      <c r="N126" s="137"/>
      <c r="O126" s="137"/>
      <c r="P126" s="137"/>
      <c r="Q126" s="137"/>
      <c r="R126" s="137"/>
      <c r="S126" s="150"/>
    </row>
    <row r="127" spans="1:19" ht="21" x14ac:dyDescent="0.35">
      <c r="A127" s="189" t="s">
        <v>76</v>
      </c>
      <c r="B127" s="190"/>
      <c r="C127" s="189"/>
      <c r="D127" s="191"/>
      <c r="E127" s="191"/>
      <c r="F127" s="191"/>
      <c r="G127" s="191"/>
      <c r="H127" s="191"/>
      <c r="I127" s="191"/>
      <c r="J127" s="191"/>
      <c r="K127" s="191"/>
      <c r="L127" s="191"/>
      <c r="M127" s="191"/>
      <c r="N127" s="191"/>
      <c r="O127" s="191"/>
    </row>
    <row r="128" spans="1:19" ht="21.75" thickBot="1" x14ac:dyDescent="0.4">
      <c r="A128" s="192"/>
      <c r="B128" s="92"/>
    </row>
    <row r="129" spans="1:15" s="11" customFormat="1" ht="27" customHeight="1" x14ac:dyDescent="0.25">
      <c r="A129" s="575" t="s">
        <v>77</v>
      </c>
      <c r="B129" s="577" t="s">
        <v>38</v>
      </c>
      <c r="C129" s="579" t="s">
        <v>78</v>
      </c>
      <c r="D129" s="193" t="s">
        <v>79</v>
      </c>
      <c r="E129" s="194"/>
      <c r="F129" s="194"/>
      <c r="G129" s="195"/>
      <c r="H129" s="196"/>
      <c r="I129" s="586" t="s">
        <v>28</v>
      </c>
      <c r="J129" s="587"/>
      <c r="K129" s="587"/>
      <c r="L129" s="587"/>
      <c r="M129" s="587"/>
      <c r="N129" s="587"/>
      <c r="O129" s="588"/>
    </row>
    <row r="130" spans="1:15" s="11" customFormat="1" ht="110.25" customHeight="1" x14ac:dyDescent="0.25">
      <c r="A130" s="576"/>
      <c r="B130" s="578"/>
      <c r="C130" s="580"/>
      <c r="D130" s="197" t="s">
        <v>80</v>
      </c>
      <c r="E130" s="198" t="s">
        <v>81</v>
      </c>
      <c r="F130" s="198" t="s">
        <v>82</v>
      </c>
      <c r="G130" s="199" t="s">
        <v>83</v>
      </c>
      <c r="H130" s="200" t="s">
        <v>84</v>
      </c>
      <c r="I130" s="201" t="s">
        <v>15</v>
      </c>
      <c r="J130" s="201" t="s">
        <v>16</v>
      </c>
      <c r="K130" s="198" t="s">
        <v>17</v>
      </c>
      <c r="L130" s="197" t="s">
        <v>18</v>
      </c>
      <c r="M130" s="197" t="s">
        <v>29</v>
      </c>
      <c r="N130" s="198" t="s">
        <v>20</v>
      </c>
      <c r="O130" s="202" t="s">
        <v>21</v>
      </c>
    </row>
    <row r="131" spans="1:15" ht="15" customHeight="1" x14ac:dyDescent="0.25">
      <c r="A131" s="625" t="s">
        <v>152</v>
      </c>
      <c r="B131" s="590"/>
      <c r="C131" s="32">
        <v>2014</v>
      </c>
      <c r="D131" s="33"/>
      <c r="E131" s="34"/>
      <c r="F131" s="34"/>
      <c r="G131" s="284">
        <f t="shared" ref="G131:G137" si="11">SUM(D131:E131)</f>
        <v>0</v>
      </c>
      <c r="H131" s="101"/>
      <c r="I131" s="37"/>
      <c r="J131" s="34"/>
      <c r="K131" s="34"/>
      <c r="L131" s="34"/>
      <c r="M131" s="34"/>
      <c r="N131" s="34"/>
      <c r="O131" s="38"/>
    </row>
    <row r="132" spans="1:15" x14ac:dyDescent="0.25">
      <c r="A132" s="589"/>
      <c r="B132" s="590"/>
      <c r="C132" s="32">
        <v>2015</v>
      </c>
      <c r="D132" s="33"/>
      <c r="E132" s="34"/>
      <c r="F132" s="34"/>
      <c r="G132" s="284">
        <f t="shared" si="11"/>
        <v>0</v>
      </c>
      <c r="H132" s="101"/>
      <c r="I132" s="37"/>
      <c r="J132" s="34"/>
      <c r="K132" s="34"/>
      <c r="L132" s="34"/>
      <c r="M132" s="34"/>
      <c r="N132" s="34"/>
      <c r="O132" s="38"/>
    </row>
    <row r="133" spans="1:15" x14ac:dyDescent="0.25">
      <c r="A133" s="589"/>
      <c r="B133" s="590"/>
      <c r="C133" s="32">
        <v>2016</v>
      </c>
      <c r="D133" s="33"/>
      <c r="E133" s="34"/>
      <c r="F133" s="34"/>
      <c r="G133" s="284">
        <f t="shared" si="11"/>
        <v>0</v>
      </c>
      <c r="H133" s="101"/>
      <c r="I133" s="37"/>
      <c r="J133" s="34"/>
      <c r="K133" s="34"/>
      <c r="L133" s="34"/>
      <c r="M133" s="34"/>
      <c r="N133" s="34"/>
      <c r="O133" s="38"/>
    </row>
    <row r="134" spans="1:15" x14ac:dyDescent="0.25">
      <c r="A134" s="589"/>
      <c r="B134" s="590"/>
      <c r="C134" s="32">
        <v>2017</v>
      </c>
      <c r="D134" s="39"/>
      <c r="E134" s="40"/>
      <c r="F134" s="40"/>
      <c r="G134" s="284">
        <f t="shared" si="11"/>
        <v>0</v>
      </c>
      <c r="H134" s="101"/>
      <c r="I134" s="42"/>
      <c r="J134" s="40"/>
      <c r="K134" s="40"/>
      <c r="L134" s="40"/>
      <c r="M134" s="40"/>
      <c r="N134" s="40"/>
      <c r="O134" s="43"/>
    </row>
    <row r="135" spans="1:15" x14ac:dyDescent="0.25">
      <c r="A135" s="589"/>
      <c r="B135" s="590"/>
      <c r="C135" s="264">
        <v>2018</v>
      </c>
      <c r="D135" s="33">
        <v>11</v>
      </c>
      <c r="E135" s="34">
        <v>1</v>
      </c>
      <c r="F135" s="34">
        <v>0</v>
      </c>
      <c r="G135" s="284">
        <f t="shared" si="11"/>
        <v>12</v>
      </c>
      <c r="H135" s="101">
        <v>23</v>
      </c>
      <c r="I135" s="37">
        <v>1</v>
      </c>
      <c r="J135" s="34">
        <v>0</v>
      </c>
      <c r="K135" s="34">
        <v>0</v>
      </c>
      <c r="L135" s="34">
        <v>0</v>
      </c>
      <c r="M135" s="34">
        <v>1</v>
      </c>
      <c r="N135" s="34">
        <v>7</v>
      </c>
      <c r="O135" s="38">
        <v>3</v>
      </c>
    </row>
    <row r="136" spans="1:15" x14ac:dyDescent="0.25">
      <c r="A136" s="589"/>
      <c r="B136" s="590"/>
      <c r="C136" s="32">
        <v>2019</v>
      </c>
      <c r="D136" s="33"/>
      <c r="E136" s="34"/>
      <c r="F136" s="34"/>
      <c r="G136" s="284">
        <f t="shared" si="11"/>
        <v>0</v>
      </c>
      <c r="H136" s="101"/>
      <c r="I136" s="37"/>
      <c r="J136" s="34"/>
      <c r="K136" s="34"/>
      <c r="L136" s="34"/>
      <c r="M136" s="34"/>
      <c r="N136" s="34"/>
      <c r="O136" s="38"/>
    </row>
    <row r="137" spans="1:15" x14ac:dyDescent="0.25">
      <c r="A137" s="589"/>
      <c r="B137" s="590"/>
      <c r="C137" s="32">
        <v>2020</v>
      </c>
      <c r="D137" s="33"/>
      <c r="E137" s="34"/>
      <c r="F137" s="34"/>
      <c r="G137" s="284">
        <f t="shared" si="11"/>
        <v>0</v>
      </c>
      <c r="H137" s="101"/>
      <c r="I137" s="37"/>
      <c r="J137" s="34"/>
      <c r="K137" s="34"/>
      <c r="L137" s="34"/>
      <c r="M137" s="34"/>
      <c r="N137" s="34"/>
      <c r="O137" s="38"/>
    </row>
    <row r="138" spans="1:15" ht="15.95" customHeight="1" thickBot="1" x14ac:dyDescent="0.3">
      <c r="A138" s="591"/>
      <c r="B138" s="592"/>
      <c r="C138" s="50" t="s">
        <v>14</v>
      </c>
      <c r="D138" s="265">
        <f>SUM(D131:D137)</f>
        <v>11</v>
      </c>
      <c r="E138" s="266">
        <f>SUM(E131:E137)</f>
        <v>1</v>
      </c>
      <c r="F138" s="266">
        <f>SUM(F131:F137)</f>
        <v>0</v>
      </c>
      <c r="G138" s="283">
        <f t="shared" ref="G138:O138" si="12">SUM(G131:G137)</f>
        <v>12</v>
      </c>
      <c r="H138" s="285">
        <f t="shared" si="12"/>
        <v>23</v>
      </c>
      <c r="I138" s="280">
        <f t="shared" si="12"/>
        <v>1</v>
      </c>
      <c r="J138" s="266">
        <f t="shared" si="12"/>
        <v>0</v>
      </c>
      <c r="K138" s="266">
        <f t="shared" si="12"/>
        <v>0</v>
      </c>
      <c r="L138" s="266">
        <f t="shared" si="12"/>
        <v>0</v>
      </c>
      <c r="M138" s="266">
        <f t="shared" si="12"/>
        <v>1</v>
      </c>
      <c r="N138" s="266">
        <f t="shared" si="12"/>
        <v>7</v>
      </c>
      <c r="O138" s="281">
        <f t="shared" si="12"/>
        <v>3</v>
      </c>
    </row>
    <row r="139" spans="1:15" ht="15.75" thickBot="1" x14ac:dyDescent="0.3">
      <c r="B139" s="10"/>
    </row>
    <row r="140" spans="1:15" ht="19.5" customHeight="1" x14ac:dyDescent="0.25">
      <c r="A140" s="593" t="s">
        <v>86</v>
      </c>
      <c r="B140" s="595" t="s">
        <v>87</v>
      </c>
      <c r="C140" s="597" t="s">
        <v>6</v>
      </c>
      <c r="D140" s="597" t="s">
        <v>79</v>
      </c>
      <c r="E140" s="597"/>
      <c r="F140" s="597"/>
      <c r="G140" s="599"/>
      <c r="H140" s="600" t="s">
        <v>88</v>
      </c>
      <c r="I140" s="597"/>
      <c r="J140" s="597"/>
      <c r="K140" s="597"/>
      <c r="L140" s="601"/>
    </row>
    <row r="141" spans="1:15" ht="102.75" x14ac:dyDescent="0.25">
      <c r="A141" s="594"/>
      <c r="B141" s="596"/>
      <c r="C141" s="598"/>
      <c r="D141" s="207" t="s">
        <v>89</v>
      </c>
      <c r="E141" s="208" t="s">
        <v>90</v>
      </c>
      <c r="F141" s="207" t="s">
        <v>91</v>
      </c>
      <c r="G141" s="209" t="s">
        <v>92</v>
      </c>
      <c r="H141" s="210" t="s">
        <v>93</v>
      </c>
      <c r="I141" s="207" t="s">
        <v>94</v>
      </c>
      <c r="J141" s="207" t="s">
        <v>95</v>
      </c>
      <c r="K141" s="207" t="s">
        <v>96</v>
      </c>
      <c r="L141" s="211" t="s">
        <v>97</v>
      </c>
    </row>
    <row r="142" spans="1:15" ht="15" customHeight="1" x14ac:dyDescent="0.25">
      <c r="A142" s="622" t="s">
        <v>153</v>
      </c>
      <c r="B142" s="582"/>
      <c r="C142" s="212">
        <v>2014</v>
      </c>
      <c r="D142" s="213"/>
      <c r="E142" s="80"/>
      <c r="F142" s="80"/>
      <c r="G142" s="286">
        <f>SUM(D142:F142)</f>
        <v>0</v>
      </c>
      <c r="H142" s="79"/>
      <c r="I142" s="80"/>
      <c r="J142" s="80"/>
      <c r="K142" s="80"/>
      <c r="L142" s="81"/>
    </row>
    <row r="143" spans="1:15" x14ac:dyDescent="0.25">
      <c r="A143" s="534"/>
      <c r="B143" s="535"/>
      <c r="C143" s="32">
        <v>2015</v>
      </c>
      <c r="D143" s="33"/>
      <c r="E143" s="34"/>
      <c r="F143" s="34"/>
      <c r="G143" s="286">
        <f t="shared" ref="G143:G148" si="13">SUM(D143:F143)</f>
        <v>0</v>
      </c>
      <c r="H143" s="37"/>
      <c r="I143" s="34"/>
      <c r="J143" s="34"/>
      <c r="K143" s="34"/>
      <c r="L143" s="38"/>
    </row>
    <row r="144" spans="1:15" x14ac:dyDescent="0.25">
      <c r="A144" s="534"/>
      <c r="B144" s="535"/>
      <c r="C144" s="32">
        <v>2016</v>
      </c>
      <c r="D144" s="33"/>
      <c r="E144" s="34"/>
      <c r="F144" s="34"/>
      <c r="G144" s="286">
        <f t="shared" si="13"/>
        <v>0</v>
      </c>
      <c r="H144" s="37"/>
      <c r="I144" s="34"/>
      <c r="J144" s="34"/>
      <c r="K144" s="34"/>
      <c r="L144" s="38"/>
    </row>
    <row r="145" spans="1:15" x14ac:dyDescent="0.25">
      <c r="A145" s="534"/>
      <c r="B145" s="535"/>
      <c r="C145" s="32">
        <v>2017</v>
      </c>
      <c r="D145" s="39"/>
      <c r="E145" s="40"/>
      <c r="F145" s="40"/>
      <c r="G145" s="286">
        <f t="shared" si="13"/>
        <v>0</v>
      </c>
      <c r="H145" s="42"/>
      <c r="I145" s="40"/>
      <c r="J145" s="40"/>
      <c r="K145" s="40"/>
      <c r="L145" s="43"/>
    </row>
    <row r="146" spans="1:15" x14ac:dyDescent="0.25">
      <c r="A146" s="534"/>
      <c r="B146" s="535"/>
      <c r="C146" s="264">
        <v>2018</v>
      </c>
      <c r="D146" s="33">
        <v>784</v>
      </c>
      <c r="E146" s="34">
        <v>20</v>
      </c>
      <c r="F146" s="34"/>
      <c r="G146" s="286">
        <f t="shared" si="13"/>
        <v>804</v>
      </c>
      <c r="H146" s="37"/>
      <c r="I146" s="34">
        <v>317</v>
      </c>
      <c r="J146" s="34">
        <v>15</v>
      </c>
      <c r="K146" s="34">
        <v>0</v>
      </c>
      <c r="L146" s="38">
        <v>477</v>
      </c>
    </row>
    <row r="147" spans="1:15" x14ac:dyDescent="0.25">
      <c r="A147" s="534"/>
      <c r="B147" s="535"/>
      <c r="C147" s="32">
        <v>2019</v>
      </c>
      <c r="D147" s="33"/>
      <c r="E147" s="34"/>
      <c r="F147" s="34"/>
      <c r="G147" s="286">
        <f t="shared" si="13"/>
        <v>0</v>
      </c>
      <c r="H147" s="37"/>
      <c r="I147" s="34"/>
      <c r="J147" s="34"/>
      <c r="K147" s="34"/>
      <c r="L147" s="38"/>
    </row>
    <row r="148" spans="1:15" x14ac:dyDescent="0.25">
      <c r="A148" s="534"/>
      <c r="B148" s="535"/>
      <c r="C148" s="32">
        <v>2020</v>
      </c>
      <c r="D148" s="33"/>
      <c r="E148" s="34"/>
      <c r="F148" s="34"/>
      <c r="G148" s="286">
        <f t="shared" si="13"/>
        <v>0</v>
      </c>
      <c r="H148" s="37"/>
      <c r="I148" s="34"/>
      <c r="J148" s="34"/>
      <c r="K148" s="34"/>
      <c r="L148" s="38"/>
    </row>
    <row r="149" spans="1:15" ht="15.75" thickBot="1" x14ac:dyDescent="0.3">
      <c r="A149" s="536"/>
      <c r="B149" s="537"/>
      <c r="C149" s="50" t="s">
        <v>14</v>
      </c>
      <c r="D149" s="265">
        <f t="shared" ref="D149:L149" si="14">SUM(D142:D148)</f>
        <v>784</v>
      </c>
      <c r="E149" s="266">
        <f t="shared" si="14"/>
        <v>20</v>
      </c>
      <c r="F149" s="266">
        <f t="shared" si="14"/>
        <v>0</v>
      </c>
      <c r="G149" s="268">
        <f t="shared" si="14"/>
        <v>804</v>
      </c>
      <c r="H149" s="280">
        <f t="shared" si="14"/>
        <v>0</v>
      </c>
      <c r="I149" s="266">
        <f t="shared" si="14"/>
        <v>317</v>
      </c>
      <c r="J149" s="266">
        <f t="shared" si="14"/>
        <v>15</v>
      </c>
      <c r="K149" s="266">
        <f t="shared" si="14"/>
        <v>0</v>
      </c>
      <c r="L149" s="281">
        <f t="shared" si="14"/>
        <v>477</v>
      </c>
    </row>
    <row r="150" spans="1:15" x14ac:dyDescent="0.25">
      <c r="B150" s="10"/>
    </row>
    <row r="151" spans="1:15" x14ac:dyDescent="0.25">
      <c r="B151" s="10"/>
    </row>
    <row r="152" spans="1:15" ht="21" x14ac:dyDescent="0.35">
      <c r="A152" s="215" t="s">
        <v>99</v>
      </c>
      <c r="B152" s="68"/>
      <c r="C152" s="67"/>
      <c r="D152" s="69"/>
      <c r="E152" s="69"/>
      <c r="F152" s="69"/>
      <c r="G152" s="69"/>
      <c r="H152" s="69"/>
      <c r="I152" s="69"/>
      <c r="J152" s="69"/>
      <c r="K152" s="69"/>
      <c r="L152" s="69"/>
      <c r="M152" s="9"/>
      <c r="N152" s="9"/>
      <c r="O152" s="9"/>
    </row>
    <row r="153" spans="1:15" ht="15.75" thickBot="1" x14ac:dyDescent="0.3">
      <c r="A153" s="91"/>
      <c r="B153" s="92"/>
    </row>
    <row r="154" spans="1:15" s="11" customFormat="1" ht="65.25" x14ac:dyDescent="0.3">
      <c r="A154" s="216" t="s">
        <v>100</v>
      </c>
      <c r="B154" s="217" t="s">
        <v>101</v>
      </c>
      <c r="C154" s="218" t="s">
        <v>102</v>
      </c>
      <c r="D154" s="219" t="s">
        <v>103</v>
      </c>
      <c r="E154" s="220" t="s">
        <v>104</v>
      </c>
      <c r="F154" s="220" t="s">
        <v>105</v>
      </c>
      <c r="G154" s="221" t="s">
        <v>106</v>
      </c>
    </row>
    <row r="155" spans="1:15" ht="15" customHeight="1" x14ac:dyDescent="0.25">
      <c r="A155" s="623" t="s">
        <v>147</v>
      </c>
      <c r="B155" s="541"/>
      <c r="C155" s="32">
        <v>2014</v>
      </c>
      <c r="D155" s="33"/>
      <c r="E155" s="34"/>
      <c r="F155" s="34"/>
      <c r="G155" s="38"/>
    </row>
    <row r="156" spans="1:15" x14ac:dyDescent="0.25">
      <c r="A156" s="540"/>
      <c r="B156" s="541"/>
      <c r="C156" s="32">
        <v>2015</v>
      </c>
      <c r="D156" s="33"/>
      <c r="E156" s="34"/>
      <c r="F156" s="34"/>
      <c r="G156" s="38"/>
    </row>
    <row r="157" spans="1:15" x14ac:dyDescent="0.25">
      <c r="A157" s="540"/>
      <c r="B157" s="541"/>
      <c r="C157" s="32">
        <v>2016</v>
      </c>
      <c r="D157" s="33"/>
      <c r="E157" s="34"/>
      <c r="F157" s="34"/>
      <c r="G157" s="38"/>
    </row>
    <row r="158" spans="1:15" x14ac:dyDescent="0.25">
      <c r="A158" s="540"/>
      <c r="B158" s="541"/>
      <c r="C158" s="32">
        <v>2017</v>
      </c>
      <c r="D158" s="39"/>
      <c r="E158" s="40"/>
      <c r="F158" s="40"/>
      <c r="G158" s="43"/>
    </row>
    <row r="159" spans="1:15" x14ac:dyDescent="0.25">
      <c r="A159" s="540"/>
      <c r="B159" s="541"/>
      <c r="C159" s="264">
        <v>2018</v>
      </c>
      <c r="D159" s="33"/>
      <c r="E159" s="34"/>
      <c r="F159" s="34"/>
      <c r="G159" s="38"/>
    </row>
    <row r="160" spans="1:15" x14ac:dyDescent="0.25">
      <c r="A160" s="540"/>
      <c r="B160" s="541"/>
      <c r="C160" s="32">
        <v>2019</v>
      </c>
      <c r="D160" s="33"/>
      <c r="E160" s="34"/>
      <c r="F160" s="34"/>
      <c r="G160" s="38"/>
    </row>
    <row r="161" spans="1:9" x14ac:dyDescent="0.25">
      <c r="A161" s="540"/>
      <c r="B161" s="541"/>
      <c r="C161" s="32">
        <v>2020</v>
      </c>
      <c r="D161" s="222"/>
      <c r="E161" s="223"/>
      <c r="F161" s="223"/>
      <c r="G161" s="224"/>
    </row>
    <row r="162" spans="1:9" ht="15.75" thickBot="1" x14ac:dyDescent="0.3">
      <c r="A162" s="542"/>
      <c r="B162" s="543"/>
      <c r="C162" s="50" t="s">
        <v>14</v>
      </c>
      <c r="D162" s="51">
        <f>SUM(D155:D160)</f>
        <v>0</v>
      </c>
      <c r="E162" s="52">
        <f>SUM(E155:E160)</f>
        <v>0</v>
      </c>
      <c r="F162" s="52">
        <f>SUM(F155:F160)</f>
        <v>0</v>
      </c>
      <c r="G162" s="86">
        <f>SUM(G155:G160)</f>
        <v>0</v>
      </c>
    </row>
    <row r="163" spans="1:9" x14ac:dyDescent="0.25">
      <c r="B163" s="10"/>
    </row>
    <row r="164" spans="1:9" ht="15.75" thickBot="1" x14ac:dyDescent="0.3">
      <c r="B164" s="10"/>
    </row>
    <row r="165" spans="1:9" ht="18.75" x14ac:dyDescent="0.3">
      <c r="A165" s="225" t="s">
        <v>107</v>
      </c>
      <c r="B165" s="226" t="s">
        <v>108</v>
      </c>
      <c r="C165" s="227">
        <v>2014</v>
      </c>
      <c r="D165" s="227">
        <v>2015</v>
      </c>
      <c r="E165" s="227">
        <v>2016</v>
      </c>
      <c r="F165" s="227">
        <v>2017</v>
      </c>
      <c r="G165" s="287">
        <v>2018</v>
      </c>
      <c r="H165" s="227">
        <v>2019</v>
      </c>
      <c r="I165" s="228">
        <v>2020</v>
      </c>
    </row>
    <row r="166" spans="1:9" ht="38.25" customHeight="1" x14ac:dyDescent="0.25">
      <c r="A166" s="229" t="s">
        <v>109</v>
      </c>
      <c r="B166" s="624" t="s">
        <v>154</v>
      </c>
      <c r="C166" s="230">
        <f>SUM(C167:C169)</f>
        <v>0</v>
      </c>
      <c r="D166" s="230">
        <f t="shared" ref="D166:I166" si="15">SUM(D167:D169)</f>
        <v>0</v>
      </c>
      <c r="E166" s="230">
        <f t="shared" si="15"/>
        <v>0</v>
      </c>
      <c r="F166" s="230">
        <f t="shared" si="15"/>
        <v>0</v>
      </c>
      <c r="G166" s="288">
        <f t="shared" si="15"/>
        <v>417392.57</v>
      </c>
      <c r="H166" s="230">
        <f t="shared" si="15"/>
        <v>0</v>
      </c>
      <c r="I166" s="231">
        <f t="shared" si="15"/>
        <v>0</v>
      </c>
    </row>
    <row r="167" spans="1:9" ht="38.25" customHeight="1" x14ac:dyDescent="0.25">
      <c r="A167" s="232" t="s">
        <v>111</v>
      </c>
      <c r="B167" s="584"/>
      <c r="C167" s="78"/>
      <c r="D167" s="78"/>
      <c r="E167" s="78"/>
      <c r="F167" s="82"/>
      <c r="G167" s="289">
        <v>388504.9</v>
      </c>
      <c r="H167" s="78"/>
      <c r="I167" s="233"/>
    </row>
    <row r="168" spans="1:9" ht="38.25" customHeight="1" x14ac:dyDescent="0.25">
      <c r="A168" s="232" t="s">
        <v>112</v>
      </c>
      <c r="B168" s="584"/>
      <c r="C168" s="78"/>
      <c r="D168" s="78"/>
      <c r="E168" s="78"/>
      <c r="F168" s="82"/>
      <c r="G168" s="289">
        <v>25587.67</v>
      </c>
      <c r="H168" s="78"/>
      <c r="I168" s="233"/>
    </row>
    <row r="169" spans="1:9" ht="38.25" customHeight="1" x14ac:dyDescent="0.25">
      <c r="A169" s="232" t="s">
        <v>113</v>
      </c>
      <c r="B169" s="584"/>
      <c r="C169" s="78"/>
      <c r="D169" s="78"/>
      <c r="E169" s="78"/>
      <c r="F169" s="82"/>
      <c r="G169" s="289">
        <v>3300</v>
      </c>
      <c r="H169" s="78"/>
      <c r="I169" s="233"/>
    </row>
    <row r="170" spans="1:9" ht="38.25" customHeight="1" x14ac:dyDescent="0.25">
      <c r="A170" s="234" t="s">
        <v>114</v>
      </c>
      <c r="B170" s="584"/>
      <c r="C170" s="78"/>
      <c r="D170" s="78"/>
      <c r="E170" s="78"/>
      <c r="F170" s="82"/>
      <c r="G170" s="289">
        <v>244364.87</v>
      </c>
      <c r="H170" s="78"/>
      <c r="I170" s="233"/>
    </row>
    <row r="171" spans="1:9" ht="72" customHeight="1" thickBot="1" x14ac:dyDescent="0.3">
      <c r="A171" s="235" t="s">
        <v>115</v>
      </c>
      <c r="B171" s="585"/>
      <c r="C171" s="236">
        <f t="shared" ref="C171:I171" si="16">C166+C170</f>
        <v>0</v>
      </c>
      <c r="D171" s="236">
        <f t="shared" si="16"/>
        <v>0</v>
      </c>
      <c r="E171" s="236">
        <f t="shared" si="16"/>
        <v>0</v>
      </c>
      <c r="F171" s="236">
        <f t="shared" si="16"/>
        <v>0</v>
      </c>
      <c r="G171" s="290">
        <f t="shared" si="16"/>
        <v>661757.43999999994</v>
      </c>
      <c r="H171" s="236">
        <f t="shared" si="16"/>
        <v>0</v>
      </c>
      <c r="I171" s="86">
        <f t="shared" si="16"/>
        <v>0</v>
      </c>
    </row>
    <row r="173" spans="1:9" x14ac:dyDescent="0.25">
      <c r="G173" s="291"/>
    </row>
    <row r="174" spans="1:9" x14ac:dyDescent="0.25">
      <c r="G174" s="292"/>
    </row>
    <row r="175" spans="1:9" x14ac:dyDescent="0.25">
      <c r="G175" s="292"/>
    </row>
  </sheetData>
  <mergeCells count="50">
    <mergeCell ref="B10:B11"/>
    <mergeCell ref="C10:C11"/>
    <mergeCell ref="A12:B19"/>
    <mergeCell ref="C21:C22"/>
    <mergeCell ref="A23:B30"/>
    <mergeCell ref="D34:D35"/>
    <mergeCell ref="A36:B43"/>
    <mergeCell ref="A48:A49"/>
    <mergeCell ref="B48:B49"/>
    <mergeCell ref="C48:C49"/>
    <mergeCell ref="D48:D49"/>
    <mergeCell ref="A34:A35"/>
    <mergeCell ref="B34:B35"/>
    <mergeCell ref="C34:C35"/>
    <mergeCell ref="A50:B57"/>
    <mergeCell ref="A61:A62"/>
    <mergeCell ref="B61:B62"/>
    <mergeCell ref="C61:C62"/>
    <mergeCell ref="A63:B70"/>
    <mergeCell ref="D72:D73"/>
    <mergeCell ref="A74:B81"/>
    <mergeCell ref="A83:A84"/>
    <mergeCell ref="B83:B84"/>
    <mergeCell ref="C83:C84"/>
    <mergeCell ref="D83:D84"/>
    <mergeCell ref="A72:A73"/>
    <mergeCell ref="B72:B73"/>
    <mergeCell ref="C72:C73"/>
    <mergeCell ref="A85:B92"/>
    <mergeCell ref="A94:A95"/>
    <mergeCell ref="B94:B95"/>
    <mergeCell ref="A96:B102"/>
    <mergeCell ref="A106:A107"/>
    <mergeCell ref="B106:B107"/>
    <mergeCell ref="C106:C107"/>
    <mergeCell ref="A108:B115"/>
    <mergeCell ref="A118:B125"/>
    <mergeCell ref="A129:A130"/>
    <mergeCell ref="B129:B130"/>
    <mergeCell ref="C129:C130"/>
    <mergeCell ref="A142:B149"/>
    <mergeCell ref="A155:B162"/>
    <mergeCell ref="B166:B171"/>
    <mergeCell ref="I129:O129"/>
    <mergeCell ref="A131:B138"/>
    <mergeCell ref="A140:A141"/>
    <mergeCell ref="B140:B141"/>
    <mergeCell ref="C140:C141"/>
    <mergeCell ref="D140:G140"/>
    <mergeCell ref="H140:L1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Podsumowanie</vt: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KOWR</vt:lpstr>
      <vt:lpstr>ARiMR</vt:lpstr>
      <vt:lpstr>MRiRW</vt:lpstr>
      <vt:lpstr>Centrum Doradztwa Rolniczego</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lpstr>Jednostka Centralna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dc:creator>
  <cp:lastModifiedBy>krzysztof</cp:lastModifiedBy>
  <dcterms:created xsi:type="dcterms:W3CDTF">2019-03-05T12:06:18Z</dcterms:created>
  <dcterms:modified xsi:type="dcterms:W3CDTF">2019-03-25T10:38:15Z</dcterms:modified>
</cp:coreProperties>
</file>