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Z:\Sprawozdawczosc\roczne za 2017\Dane z JW\"/>
    </mc:Choice>
  </mc:AlternateContent>
  <bookViews>
    <workbookView xWindow="0" yWindow="0" windowWidth="28800" windowHeight="12210" firstSheet="18" activeTab="19"/>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9" r:id="rId9"/>
    <sheet name="podlaskie" sheetId="10" r:id="rId10"/>
    <sheet name="pomorskie" sheetId="11" r:id="rId11"/>
    <sheet name="ślaskie" sheetId="12" r:id="rId12"/>
    <sheet name="świętokrzyskie" sheetId="13" r:id="rId13"/>
    <sheet name="warmińsko-mazurskie" sheetId="14" r:id="rId14"/>
    <sheet name="wielkopolskie" sheetId="15" r:id="rId15"/>
    <sheet name="zachodniopomorskie" sheetId="16" r:id="rId16"/>
    <sheet name="KOWR" sheetId="17" r:id="rId17"/>
    <sheet name="ARiMR" sheetId="18" r:id="rId18"/>
    <sheet name="MRiRW" sheetId="19" r:id="rId19"/>
    <sheet name="Jednostka Centralna" sheetId="37" r:id="rId20"/>
    <sheet name="Centrum Doradztwa Rolniczego" sheetId="20" r:id="rId21"/>
    <sheet name="ODR woj. dolnośląskie" sheetId="21" r:id="rId22"/>
    <sheet name="ODR woj. kujawsko-pomorskie" sheetId="22" r:id="rId23"/>
    <sheet name="ODR woj. lubelskie" sheetId="23" r:id="rId24"/>
    <sheet name="ODR woj. lubuskie" sheetId="24" r:id="rId25"/>
    <sheet name="ODR woj. łódzkie" sheetId="25" r:id="rId26"/>
    <sheet name="ODR woj. małopolskie" sheetId="26" r:id="rId27"/>
    <sheet name="ODR woj. mazowieckie" sheetId="27" r:id="rId28"/>
    <sheet name="ODR woj. opolskie" sheetId="28" r:id="rId29"/>
    <sheet name="ODR woj. podkarpackie" sheetId="29" r:id="rId30"/>
    <sheet name="ODR woj. podlaskie" sheetId="30" r:id="rId31"/>
    <sheet name="ODR woj. pomorskie" sheetId="31" r:id="rId32"/>
    <sheet name="ODR woj. ślaskie" sheetId="32" r:id="rId33"/>
    <sheet name="ODR woj. świętokrzyskie" sheetId="33" r:id="rId34"/>
    <sheet name="ODR woj. warmińsko-mazurskie" sheetId="34" r:id="rId35"/>
    <sheet name="ODR woj. wielkopolskie" sheetId="35" r:id="rId36"/>
    <sheet name="ODR woj. zachodniopomorskie" sheetId="36" r:id="rId37"/>
    <sheet name="RAZEM" sheetId="39" r:id="rId38"/>
  </sheets>
  <externalReferences>
    <externalReference r:id="rId3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8" i="39" l="1"/>
  <c r="D219" i="39" s="1"/>
  <c r="F213" i="11" l="1"/>
  <c r="E213" i="11"/>
  <c r="D213" i="11"/>
  <c r="E213" i="31"/>
  <c r="D217" i="39" l="1"/>
  <c r="D216" i="39"/>
  <c r="D215" i="39"/>
  <c r="D214" i="39"/>
  <c r="F131" i="39"/>
  <c r="E131" i="39"/>
  <c r="D131" i="39"/>
  <c r="M101" i="39"/>
  <c r="F101" i="39"/>
  <c r="F218" i="39"/>
  <c r="F219" i="39" s="1"/>
  <c r="E218" i="39"/>
  <c r="F217" i="39"/>
  <c r="E217" i="39"/>
  <c r="F216" i="39"/>
  <c r="E216" i="39"/>
  <c r="F215" i="39"/>
  <c r="E215" i="39"/>
  <c r="F214" i="39"/>
  <c r="E214" i="39"/>
  <c r="L205" i="39"/>
  <c r="K205" i="39"/>
  <c r="J205" i="39"/>
  <c r="I205" i="39"/>
  <c r="H205" i="39"/>
  <c r="G205" i="39"/>
  <c r="F205" i="39"/>
  <c r="E205" i="39"/>
  <c r="D205" i="39"/>
  <c r="L204" i="39"/>
  <c r="K204" i="39"/>
  <c r="J204" i="39"/>
  <c r="I204" i="39"/>
  <c r="H204" i="39"/>
  <c r="G204" i="39"/>
  <c r="F204" i="39"/>
  <c r="E204" i="39"/>
  <c r="D204" i="39"/>
  <c r="L192" i="39"/>
  <c r="K192" i="39"/>
  <c r="J192" i="39"/>
  <c r="I192" i="39"/>
  <c r="H192" i="39"/>
  <c r="F192" i="39"/>
  <c r="E192" i="39"/>
  <c r="D192" i="39"/>
  <c r="L191" i="39"/>
  <c r="K191" i="39"/>
  <c r="J191" i="39"/>
  <c r="I191" i="39"/>
  <c r="H191" i="39"/>
  <c r="F191" i="39"/>
  <c r="E191" i="39"/>
  <c r="D191" i="39"/>
  <c r="G191" i="39" s="1"/>
  <c r="O181" i="39"/>
  <c r="N181" i="39"/>
  <c r="M181" i="39"/>
  <c r="L181" i="39"/>
  <c r="K181" i="39"/>
  <c r="J181" i="39"/>
  <c r="I181" i="39"/>
  <c r="H181" i="39"/>
  <c r="F181" i="39"/>
  <c r="E181" i="39"/>
  <c r="D181" i="39"/>
  <c r="O180" i="39"/>
  <c r="N180" i="39"/>
  <c r="M180" i="39"/>
  <c r="L180" i="39"/>
  <c r="K180" i="39"/>
  <c r="J180" i="39"/>
  <c r="I180" i="39"/>
  <c r="H180" i="39"/>
  <c r="F180" i="39"/>
  <c r="E180" i="39"/>
  <c r="D180" i="39"/>
  <c r="I168" i="39"/>
  <c r="H168" i="39"/>
  <c r="G168" i="39"/>
  <c r="F168" i="39"/>
  <c r="E168" i="39"/>
  <c r="D168" i="39"/>
  <c r="I167" i="39"/>
  <c r="H167" i="39"/>
  <c r="G167" i="39"/>
  <c r="F167" i="39"/>
  <c r="E167" i="39"/>
  <c r="D167" i="39"/>
  <c r="J158" i="39"/>
  <c r="I158" i="39"/>
  <c r="H158" i="39"/>
  <c r="F158" i="39"/>
  <c r="E158" i="39"/>
  <c r="D158" i="39"/>
  <c r="J157" i="39"/>
  <c r="I157" i="39"/>
  <c r="H157" i="39"/>
  <c r="F157" i="39"/>
  <c r="G157" i="39" s="1"/>
  <c r="E157" i="39"/>
  <c r="D157" i="39"/>
  <c r="N147" i="39"/>
  <c r="M147" i="39"/>
  <c r="L147" i="39"/>
  <c r="K147" i="39"/>
  <c r="J147" i="39"/>
  <c r="H147" i="39"/>
  <c r="G147" i="39"/>
  <c r="F147" i="39"/>
  <c r="E147" i="39"/>
  <c r="D147" i="39"/>
  <c r="I147" i="39" s="1"/>
  <c r="N146" i="39"/>
  <c r="M146" i="39"/>
  <c r="L146" i="39"/>
  <c r="K146" i="39"/>
  <c r="J146" i="39"/>
  <c r="H146" i="39"/>
  <c r="G146" i="39"/>
  <c r="F146" i="39"/>
  <c r="E146" i="39"/>
  <c r="D146" i="39"/>
  <c r="F133" i="39"/>
  <c r="E133" i="39"/>
  <c r="G133" i="39" s="1"/>
  <c r="D133" i="39"/>
  <c r="F132" i="39"/>
  <c r="E132" i="39"/>
  <c r="D132" i="39"/>
  <c r="D137" i="39" s="1"/>
  <c r="L123" i="39"/>
  <c r="K123" i="39"/>
  <c r="J123" i="39"/>
  <c r="I123" i="39"/>
  <c r="H123" i="39"/>
  <c r="G123" i="39"/>
  <c r="F123" i="39"/>
  <c r="E123" i="39"/>
  <c r="E127" i="39" s="1"/>
  <c r="D123" i="39"/>
  <c r="L122" i="39"/>
  <c r="K122" i="39"/>
  <c r="J122" i="39"/>
  <c r="I122" i="39"/>
  <c r="H122" i="39"/>
  <c r="G122" i="39"/>
  <c r="F122" i="39"/>
  <c r="F127" i="39" s="1"/>
  <c r="E122" i="39"/>
  <c r="D122" i="39"/>
  <c r="L112" i="39"/>
  <c r="K112" i="39"/>
  <c r="J112" i="39"/>
  <c r="I112" i="39"/>
  <c r="H112" i="39"/>
  <c r="G112" i="39"/>
  <c r="F112" i="39"/>
  <c r="E112" i="39"/>
  <c r="D112" i="39"/>
  <c r="L111" i="39"/>
  <c r="K111" i="39"/>
  <c r="J111" i="39"/>
  <c r="I111" i="39"/>
  <c r="H111" i="39"/>
  <c r="G111" i="39"/>
  <c r="F111" i="39"/>
  <c r="E111" i="39"/>
  <c r="D111" i="39"/>
  <c r="L101" i="39"/>
  <c r="K101" i="39"/>
  <c r="J101" i="39"/>
  <c r="I101" i="39"/>
  <c r="H101" i="39"/>
  <c r="G101" i="39"/>
  <c r="E101" i="39"/>
  <c r="D101" i="39"/>
  <c r="M100" i="39"/>
  <c r="L100" i="39"/>
  <c r="K100" i="39"/>
  <c r="J100" i="39"/>
  <c r="I100" i="39"/>
  <c r="H100" i="39"/>
  <c r="G100" i="39"/>
  <c r="F100" i="39"/>
  <c r="E100" i="39"/>
  <c r="D100" i="39"/>
  <c r="K88" i="39"/>
  <c r="J88" i="39"/>
  <c r="I88" i="39"/>
  <c r="H88" i="39"/>
  <c r="G88" i="39"/>
  <c r="F88" i="39"/>
  <c r="E88" i="39"/>
  <c r="D88" i="39"/>
  <c r="K87" i="39"/>
  <c r="J87" i="39"/>
  <c r="I87" i="39"/>
  <c r="H87" i="39"/>
  <c r="G87" i="39"/>
  <c r="F87" i="39"/>
  <c r="E87" i="39"/>
  <c r="D87" i="39"/>
  <c r="O75" i="39"/>
  <c r="N75" i="39"/>
  <c r="M75" i="39"/>
  <c r="L75" i="39"/>
  <c r="K75" i="39"/>
  <c r="J75" i="39"/>
  <c r="I75" i="39"/>
  <c r="H75" i="39"/>
  <c r="F75" i="39"/>
  <c r="E75" i="39"/>
  <c r="D75" i="39"/>
  <c r="O74" i="39"/>
  <c r="N74" i="39"/>
  <c r="M74" i="39"/>
  <c r="L74" i="39"/>
  <c r="K74" i="39"/>
  <c r="J74" i="39"/>
  <c r="I74" i="39"/>
  <c r="H74" i="39"/>
  <c r="F74" i="39"/>
  <c r="E74" i="39"/>
  <c r="D74" i="39"/>
  <c r="L65" i="39"/>
  <c r="K65" i="39"/>
  <c r="J65" i="39"/>
  <c r="I65" i="39"/>
  <c r="H65" i="39"/>
  <c r="G65" i="39"/>
  <c r="F65" i="39"/>
  <c r="E65" i="39"/>
  <c r="D65" i="39"/>
  <c r="L64" i="39"/>
  <c r="K64" i="39"/>
  <c r="J64" i="39"/>
  <c r="I64" i="39"/>
  <c r="H64" i="39"/>
  <c r="G64" i="39"/>
  <c r="F64" i="39"/>
  <c r="E64" i="39"/>
  <c r="D64" i="39"/>
  <c r="K54" i="39"/>
  <c r="J54" i="39"/>
  <c r="I54" i="39"/>
  <c r="H54" i="39"/>
  <c r="G54" i="39"/>
  <c r="F54" i="39"/>
  <c r="E54" i="39"/>
  <c r="D54" i="39"/>
  <c r="K53" i="39"/>
  <c r="J53" i="39"/>
  <c r="I53" i="39"/>
  <c r="H53" i="39"/>
  <c r="G53" i="39"/>
  <c r="F53" i="39"/>
  <c r="E53" i="39"/>
  <c r="D53" i="39"/>
  <c r="E43" i="39"/>
  <c r="D43" i="39"/>
  <c r="E42" i="39"/>
  <c r="D42" i="39"/>
  <c r="O20" i="39"/>
  <c r="N20" i="39"/>
  <c r="M20" i="39"/>
  <c r="L20" i="39"/>
  <c r="K20" i="39"/>
  <c r="J20" i="39"/>
  <c r="I20" i="39"/>
  <c r="H20" i="39"/>
  <c r="F20" i="39"/>
  <c r="E20" i="39"/>
  <c r="D20" i="39"/>
  <c r="O19" i="39"/>
  <c r="N19" i="39"/>
  <c r="M19" i="39"/>
  <c r="L19" i="39"/>
  <c r="K19" i="39"/>
  <c r="J19" i="39"/>
  <c r="I19" i="39"/>
  <c r="H19" i="39"/>
  <c r="F19" i="39"/>
  <c r="G19" i="39" s="1"/>
  <c r="E19" i="39"/>
  <c r="D19" i="39"/>
  <c r="F31" i="39"/>
  <c r="F30" i="39"/>
  <c r="E31" i="39"/>
  <c r="E30" i="39"/>
  <c r="D31" i="39"/>
  <c r="D30" i="39"/>
  <c r="I219" i="39"/>
  <c r="H219" i="39"/>
  <c r="G219" i="39"/>
  <c r="G195" i="39"/>
  <c r="G194" i="39"/>
  <c r="G193" i="39"/>
  <c r="G192" i="39"/>
  <c r="G189" i="39"/>
  <c r="G184" i="39"/>
  <c r="G183" i="39"/>
  <c r="G182" i="39"/>
  <c r="G181" i="39"/>
  <c r="G178" i="39"/>
  <c r="K171" i="39"/>
  <c r="J171" i="39"/>
  <c r="K170" i="39"/>
  <c r="J170" i="39"/>
  <c r="K169" i="39"/>
  <c r="J169" i="39"/>
  <c r="K168" i="39"/>
  <c r="J168" i="39"/>
  <c r="K165" i="39"/>
  <c r="J165" i="39"/>
  <c r="G161" i="39"/>
  <c r="G160" i="39"/>
  <c r="G159" i="39"/>
  <c r="G158" i="39"/>
  <c r="G155" i="39"/>
  <c r="I150" i="39"/>
  <c r="I149" i="39"/>
  <c r="I148" i="39"/>
  <c r="I144" i="39"/>
  <c r="G136" i="39"/>
  <c r="G135" i="39"/>
  <c r="G134" i="39"/>
  <c r="F137" i="39"/>
  <c r="G131" i="39"/>
  <c r="H127" i="39"/>
  <c r="I127" i="39"/>
  <c r="L127" i="39"/>
  <c r="K127" i="39"/>
  <c r="G127" i="39"/>
  <c r="G78" i="39"/>
  <c r="G77" i="39"/>
  <c r="G76" i="39"/>
  <c r="G75" i="39"/>
  <c r="G72" i="39"/>
  <c r="G34" i="39"/>
  <c r="G33" i="39"/>
  <c r="G32" i="39"/>
  <c r="G28" i="39"/>
  <c r="G23" i="39"/>
  <c r="G22" i="39"/>
  <c r="G21" i="39"/>
  <c r="G20" i="39"/>
  <c r="G17" i="39"/>
  <c r="E219" i="39" l="1"/>
  <c r="F213" i="39"/>
  <c r="D213" i="39"/>
  <c r="E137" i="39"/>
  <c r="G132" i="39"/>
  <c r="G137" i="39" s="1"/>
  <c r="G31" i="39"/>
  <c r="G30" i="39"/>
  <c r="G74" i="39"/>
  <c r="J167" i="39"/>
  <c r="E213" i="39"/>
  <c r="I146" i="39"/>
  <c r="K167" i="39"/>
  <c r="G180" i="39"/>
  <c r="I219" i="37" l="1"/>
  <c r="H219" i="37"/>
  <c r="G219" i="37"/>
  <c r="F219" i="37"/>
  <c r="E219" i="37"/>
  <c r="D219" i="37"/>
  <c r="E217" i="37"/>
  <c r="F213" i="37"/>
  <c r="E213" i="37"/>
  <c r="D213" i="37"/>
  <c r="L209" i="37"/>
  <c r="K209" i="37"/>
  <c r="J209" i="37"/>
  <c r="I209" i="37"/>
  <c r="H209" i="37"/>
  <c r="G209" i="37"/>
  <c r="F209" i="37"/>
  <c r="E209" i="37"/>
  <c r="D209" i="37"/>
  <c r="L196" i="37"/>
  <c r="K196" i="37"/>
  <c r="J196" i="37"/>
  <c r="I196" i="37"/>
  <c r="H196" i="37"/>
  <c r="F196" i="37"/>
  <c r="E196" i="37"/>
  <c r="D196" i="37"/>
  <c r="G195" i="37"/>
  <c r="G194" i="37"/>
  <c r="G193" i="37"/>
  <c r="G192" i="37"/>
  <c r="G191" i="37"/>
  <c r="G196" i="37" s="1"/>
  <c r="G190" i="37"/>
  <c r="G189" i="37"/>
  <c r="O185" i="37"/>
  <c r="N185" i="37"/>
  <c r="M185" i="37"/>
  <c r="L185" i="37"/>
  <c r="K185" i="37"/>
  <c r="J185" i="37"/>
  <c r="I185" i="37"/>
  <c r="H185" i="37"/>
  <c r="F185" i="37"/>
  <c r="E185" i="37"/>
  <c r="D185" i="37"/>
  <c r="G184" i="37"/>
  <c r="G183" i="37"/>
  <c r="G182" i="37"/>
  <c r="G181" i="37"/>
  <c r="G180" i="37"/>
  <c r="G179" i="37"/>
  <c r="G185" i="37" s="1"/>
  <c r="G178" i="37"/>
  <c r="I172" i="37"/>
  <c r="H172" i="37"/>
  <c r="G172" i="37"/>
  <c r="F172" i="37"/>
  <c r="E172" i="37"/>
  <c r="D172" i="37"/>
  <c r="K171" i="37"/>
  <c r="J171" i="37"/>
  <c r="K170" i="37"/>
  <c r="J170" i="37"/>
  <c r="K169" i="37"/>
  <c r="J169" i="37"/>
  <c r="K168" i="37"/>
  <c r="J168" i="37"/>
  <c r="K167" i="37"/>
  <c r="J167" i="37"/>
  <c r="K166" i="37"/>
  <c r="J166" i="37"/>
  <c r="K165" i="37"/>
  <c r="K172" i="37" s="1"/>
  <c r="J165" i="37"/>
  <c r="J172" i="37" s="1"/>
  <c r="J162" i="37"/>
  <c r="I162" i="37"/>
  <c r="H162" i="37"/>
  <c r="F162" i="37"/>
  <c r="E162" i="37"/>
  <c r="D162" i="37"/>
  <c r="G161" i="37"/>
  <c r="G160" i="37"/>
  <c r="G159" i="37"/>
  <c r="G158" i="37"/>
  <c r="G157" i="37"/>
  <c r="G156" i="37"/>
  <c r="G162" i="37" s="1"/>
  <c r="G155" i="37"/>
  <c r="N151" i="37"/>
  <c r="M151" i="37"/>
  <c r="L151" i="37"/>
  <c r="K151" i="37"/>
  <c r="J151" i="37"/>
  <c r="H151" i="37"/>
  <c r="G151" i="37"/>
  <c r="F151" i="37"/>
  <c r="E151" i="37"/>
  <c r="D151" i="37"/>
  <c r="I150" i="37"/>
  <c r="I149" i="37"/>
  <c r="I148" i="37"/>
  <c r="I147" i="37"/>
  <c r="I146" i="37"/>
  <c r="I145" i="37"/>
  <c r="I144" i="37"/>
  <c r="I151" i="37" s="1"/>
  <c r="F137" i="37"/>
  <c r="E137" i="37"/>
  <c r="D137" i="37"/>
  <c r="G136" i="37"/>
  <c r="G135" i="37"/>
  <c r="G134" i="37"/>
  <c r="G133" i="37"/>
  <c r="G132" i="37"/>
  <c r="G137" i="37" s="1"/>
  <c r="G131" i="37"/>
  <c r="L127" i="37"/>
  <c r="K127" i="37"/>
  <c r="I127" i="37"/>
  <c r="H127" i="37"/>
  <c r="G127" i="37"/>
  <c r="F127" i="37"/>
  <c r="E127" i="37"/>
  <c r="D127" i="37"/>
  <c r="L116" i="37"/>
  <c r="K116" i="37"/>
  <c r="I116" i="37"/>
  <c r="H116" i="37"/>
  <c r="G116" i="37"/>
  <c r="F116" i="37"/>
  <c r="E116" i="37"/>
  <c r="D116" i="37"/>
  <c r="M105" i="37"/>
  <c r="L105" i="37"/>
  <c r="K105" i="37"/>
  <c r="J105" i="37"/>
  <c r="I105" i="37"/>
  <c r="H105" i="37"/>
  <c r="G105" i="37"/>
  <c r="F105" i="37"/>
  <c r="E105" i="37"/>
  <c r="D105" i="37"/>
  <c r="K92" i="37"/>
  <c r="J92" i="37"/>
  <c r="I92" i="37"/>
  <c r="H92" i="37"/>
  <c r="G92" i="37"/>
  <c r="F92" i="37"/>
  <c r="E92" i="37"/>
  <c r="D92" i="37"/>
  <c r="O79" i="37"/>
  <c r="N79" i="37"/>
  <c r="M79" i="37"/>
  <c r="L79" i="37"/>
  <c r="K79" i="37"/>
  <c r="J79" i="37"/>
  <c r="I79" i="37"/>
  <c r="F79" i="37"/>
  <c r="E79" i="37"/>
  <c r="D79" i="37"/>
  <c r="G78" i="37"/>
  <c r="G77" i="37"/>
  <c r="G76" i="37"/>
  <c r="G75" i="37"/>
  <c r="G74" i="37"/>
  <c r="G73" i="37"/>
  <c r="G79" i="37" s="1"/>
  <c r="G72" i="37"/>
  <c r="L69" i="37"/>
  <c r="K69" i="37"/>
  <c r="I69" i="37"/>
  <c r="H69" i="37"/>
  <c r="G69" i="37"/>
  <c r="F69" i="37"/>
  <c r="E69" i="37"/>
  <c r="D69" i="37"/>
  <c r="K58" i="37"/>
  <c r="J58" i="37"/>
  <c r="I58" i="37"/>
  <c r="H58" i="37"/>
  <c r="G58" i="37"/>
  <c r="F58" i="37"/>
  <c r="E58" i="37"/>
  <c r="D58" i="37"/>
  <c r="E47" i="37"/>
  <c r="D47" i="37"/>
  <c r="G35" i="37"/>
  <c r="F35" i="37"/>
  <c r="E35" i="37"/>
  <c r="D35" i="37"/>
  <c r="G34" i="37"/>
  <c r="G33" i="37"/>
  <c r="G32" i="37"/>
  <c r="G31" i="37"/>
  <c r="G30" i="37"/>
  <c r="G29" i="37"/>
  <c r="G28" i="37"/>
  <c r="O24" i="37"/>
  <c r="N24" i="37"/>
  <c r="M24" i="37"/>
  <c r="L24" i="37"/>
  <c r="K24" i="37"/>
  <c r="J24" i="37"/>
  <c r="I24" i="37"/>
  <c r="H24" i="37"/>
  <c r="F24" i="37"/>
  <c r="G24" i="37" s="1"/>
  <c r="E24" i="37"/>
  <c r="D24" i="37"/>
  <c r="G23" i="37"/>
  <c r="G22" i="37"/>
  <c r="G21" i="37"/>
  <c r="G20" i="37"/>
  <c r="G19" i="37"/>
  <c r="G18" i="37"/>
  <c r="G17" i="37"/>
  <c r="B213" i="19" l="1"/>
  <c r="L203" i="19"/>
  <c r="L203" i="39" s="1"/>
  <c r="L209" i="39" s="1"/>
  <c r="K203" i="19"/>
  <c r="K203" i="39" s="1"/>
  <c r="K209" i="39" s="1"/>
  <c r="J203" i="19"/>
  <c r="J203" i="39" s="1"/>
  <c r="J209" i="39" s="1"/>
  <c r="I203" i="19"/>
  <c r="I203" i="39" s="1"/>
  <c r="I209" i="39" s="1"/>
  <c r="H203" i="19"/>
  <c r="H203" i="39" s="1"/>
  <c r="H209" i="39" s="1"/>
  <c r="G203" i="19"/>
  <c r="G203" i="39" s="1"/>
  <c r="G209" i="39" s="1"/>
  <c r="F203" i="19"/>
  <c r="F203" i="39" s="1"/>
  <c r="F209" i="39" s="1"/>
  <c r="E203" i="19"/>
  <c r="E203" i="39" s="1"/>
  <c r="E209" i="39" s="1"/>
  <c r="D203" i="19"/>
  <c r="D203" i="39" s="1"/>
  <c r="D209" i="39" s="1"/>
  <c r="A202" i="19"/>
  <c r="L190" i="19"/>
  <c r="L190" i="39" s="1"/>
  <c r="L196" i="39" s="1"/>
  <c r="K190" i="19"/>
  <c r="K190" i="39" s="1"/>
  <c r="K196" i="39" s="1"/>
  <c r="J190" i="19"/>
  <c r="J190" i="39" s="1"/>
  <c r="J196" i="39" s="1"/>
  <c r="I190" i="19"/>
  <c r="I190" i="39" s="1"/>
  <c r="I196" i="39" s="1"/>
  <c r="H190" i="19"/>
  <c r="H190" i="39" s="1"/>
  <c r="H196" i="39" s="1"/>
  <c r="G190" i="19"/>
  <c r="F190" i="19"/>
  <c r="F190" i="39" s="1"/>
  <c r="F196" i="39" s="1"/>
  <c r="E190" i="19"/>
  <c r="E190" i="39" s="1"/>
  <c r="D190" i="19"/>
  <c r="D190" i="39" s="1"/>
  <c r="D196" i="39" s="1"/>
  <c r="A189" i="19"/>
  <c r="O179" i="19"/>
  <c r="O179" i="39" s="1"/>
  <c r="O185" i="39" s="1"/>
  <c r="N179" i="19"/>
  <c r="N179" i="39" s="1"/>
  <c r="N185" i="39" s="1"/>
  <c r="M179" i="19"/>
  <c r="M179" i="39" s="1"/>
  <c r="M185" i="39" s="1"/>
  <c r="L179" i="19"/>
  <c r="L179" i="39" s="1"/>
  <c r="L185" i="39" s="1"/>
  <c r="K179" i="19"/>
  <c r="K179" i="39" s="1"/>
  <c r="K185" i="39" s="1"/>
  <c r="J179" i="19"/>
  <c r="J179" i="39" s="1"/>
  <c r="J185" i="39" s="1"/>
  <c r="I179" i="19"/>
  <c r="I179" i="39" s="1"/>
  <c r="I185" i="39" s="1"/>
  <c r="H179" i="19"/>
  <c r="H179" i="39" s="1"/>
  <c r="H185" i="39" s="1"/>
  <c r="G179" i="19"/>
  <c r="F179" i="19"/>
  <c r="F179" i="39" s="1"/>
  <c r="F185" i="39" s="1"/>
  <c r="E179" i="19"/>
  <c r="E179" i="39" s="1"/>
  <c r="E185" i="39" s="1"/>
  <c r="D179" i="19"/>
  <c r="D179" i="39" s="1"/>
  <c r="A178" i="19"/>
  <c r="K166" i="19"/>
  <c r="J166" i="19"/>
  <c r="I166" i="19"/>
  <c r="I166" i="39" s="1"/>
  <c r="I172" i="39" s="1"/>
  <c r="H166" i="19"/>
  <c r="H166" i="39" s="1"/>
  <c r="H172" i="39" s="1"/>
  <c r="G166" i="19"/>
  <c r="G166" i="39" s="1"/>
  <c r="G172" i="39" s="1"/>
  <c r="F166" i="19"/>
  <c r="F166" i="39" s="1"/>
  <c r="F172" i="39" s="1"/>
  <c r="E166" i="19"/>
  <c r="E166" i="39" s="1"/>
  <c r="D166" i="19"/>
  <c r="D166" i="39" s="1"/>
  <c r="A165" i="19"/>
  <c r="J156" i="19"/>
  <c r="J156" i="39" s="1"/>
  <c r="J162" i="39" s="1"/>
  <c r="I156" i="19"/>
  <c r="I156" i="39" s="1"/>
  <c r="I162" i="39" s="1"/>
  <c r="H156" i="19"/>
  <c r="H156" i="39" s="1"/>
  <c r="H162" i="39" s="1"/>
  <c r="G156" i="19"/>
  <c r="F156" i="19"/>
  <c r="F156" i="39" s="1"/>
  <c r="F162" i="39" s="1"/>
  <c r="E156" i="19"/>
  <c r="E156" i="39" s="1"/>
  <c r="D156" i="19"/>
  <c r="D156" i="39" s="1"/>
  <c r="D162" i="39" s="1"/>
  <c r="A155" i="19"/>
  <c r="N145" i="19"/>
  <c r="N145" i="39" s="1"/>
  <c r="N151" i="39" s="1"/>
  <c r="M145" i="19"/>
  <c r="M145" i="39" s="1"/>
  <c r="M151" i="39" s="1"/>
  <c r="L145" i="19"/>
  <c r="L145" i="39" s="1"/>
  <c r="L151" i="39" s="1"/>
  <c r="K145" i="19"/>
  <c r="K145" i="39" s="1"/>
  <c r="K151" i="39" s="1"/>
  <c r="J145" i="19"/>
  <c r="J145" i="39" s="1"/>
  <c r="J151" i="39" s="1"/>
  <c r="I145" i="19"/>
  <c r="H145" i="19"/>
  <c r="H145" i="39" s="1"/>
  <c r="H151" i="39" s="1"/>
  <c r="G145" i="19"/>
  <c r="G145" i="39" s="1"/>
  <c r="G151" i="39" s="1"/>
  <c r="F145" i="19"/>
  <c r="F145" i="39" s="1"/>
  <c r="F151" i="39" s="1"/>
  <c r="E145" i="19"/>
  <c r="E145" i="39" s="1"/>
  <c r="E151" i="39" s="1"/>
  <c r="D145" i="19"/>
  <c r="D145" i="39" s="1"/>
  <c r="A144" i="19"/>
  <c r="L121" i="19"/>
  <c r="K121" i="19"/>
  <c r="J121" i="19"/>
  <c r="I121" i="19"/>
  <c r="H121" i="19"/>
  <c r="G121" i="19"/>
  <c r="F121" i="19"/>
  <c r="E121" i="19"/>
  <c r="D121" i="19"/>
  <c r="D121" i="39" s="1"/>
  <c r="D127" i="39" s="1"/>
  <c r="A120" i="19"/>
  <c r="L110" i="19"/>
  <c r="L110" i="39" s="1"/>
  <c r="L116" i="39" s="1"/>
  <c r="K110" i="19"/>
  <c r="K110" i="39" s="1"/>
  <c r="K116" i="39" s="1"/>
  <c r="J110" i="19"/>
  <c r="J110" i="39" s="1"/>
  <c r="I110" i="19"/>
  <c r="I110" i="39" s="1"/>
  <c r="I116" i="39" s="1"/>
  <c r="H110" i="19"/>
  <c r="H110" i="39" s="1"/>
  <c r="H116" i="39" s="1"/>
  <c r="G110" i="19"/>
  <c r="G110" i="39" s="1"/>
  <c r="G116" i="39" s="1"/>
  <c r="F110" i="19"/>
  <c r="F110" i="39" s="1"/>
  <c r="F116" i="39" s="1"/>
  <c r="E110" i="19"/>
  <c r="E110" i="39" s="1"/>
  <c r="E116" i="39" s="1"/>
  <c r="D110" i="19"/>
  <c r="D110" i="39" s="1"/>
  <c r="D116" i="39" s="1"/>
  <c r="A109" i="19"/>
  <c r="M99" i="19"/>
  <c r="M99" i="39" s="1"/>
  <c r="M105" i="39" s="1"/>
  <c r="L99" i="19"/>
  <c r="L99" i="39" s="1"/>
  <c r="L105" i="39" s="1"/>
  <c r="K99" i="19"/>
  <c r="K99" i="39" s="1"/>
  <c r="K105" i="39" s="1"/>
  <c r="J99" i="19"/>
  <c r="J99" i="39" s="1"/>
  <c r="J105" i="39" s="1"/>
  <c r="I99" i="19"/>
  <c r="I99" i="39" s="1"/>
  <c r="I105" i="39" s="1"/>
  <c r="H99" i="19"/>
  <c r="H99" i="39" s="1"/>
  <c r="H105" i="39" s="1"/>
  <c r="G99" i="19"/>
  <c r="G99" i="39" s="1"/>
  <c r="G105" i="39" s="1"/>
  <c r="F99" i="19"/>
  <c r="F99" i="39" s="1"/>
  <c r="F105" i="39" s="1"/>
  <c r="E99" i="19"/>
  <c r="E99" i="39" s="1"/>
  <c r="E105" i="39" s="1"/>
  <c r="D99" i="19"/>
  <c r="D99" i="39" s="1"/>
  <c r="D105" i="39" s="1"/>
  <c r="A98" i="19"/>
  <c r="K86" i="19"/>
  <c r="K86" i="39" s="1"/>
  <c r="K92" i="39" s="1"/>
  <c r="J86" i="19"/>
  <c r="J86" i="39" s="1"/>
  <c r="J92" i="39" s="1"/>
  <c r="I86" i="19"/>
  <c r="I86" i="39" s="1"/>
  <c r="I92" i="39" s="1"/>
  <c r="H86" i="19"/>
  <c r="H86" i="39" s="1"/>
  <c r="H92" i="39" s="1"/>
  <c r="G86" i="19"/>
  <c r="G86" i="39" s="1"/>
  <c r="G92" i="39" s="1"/>
  <c r="F86" i="19"/>
  <c r="F86" i="39" s="1"/>
  <c r="F92" i="39" s="1"/>
  <c r="E86" i="19"/>
  <c r="E86" i="39" s="1"/>
  <c r="E92" i="39" s="1"/>
  <c r="D86" i="19"/>
  <c r="D86" i="39" s="1"/>
  <c r="D92" i="39" s="1"/>
  <c r="A85" i="19"/>
  <c r="O73" i="19"/>
  <c r="O73" i="39" s="1"/>
  <c r="O79" i="39" s="1"/>
  <c r="N73" i="19"/>
  <c r="N73" i="39" s="1"/>
  <c r="N79" i="39" s="1"/>
  <c r="M73" i="19"/>
  <c r="M73" i="39" s="1"/>
  <c r="M79" i="39" s="1"/>
  <c r="L73" i="19"/>
  <c r="L73" i="39" s="1"/>
  <c r="L79" i="39" s="1"/>
  <c r="K73" i="19"/>
  <c r="K73" i="39" s="1"/>
  <c r="K79" i="39" s="1"/>
  <c r="J73" i="19"/>
  <c r="J73" i="39" s="1"/>
  <c r="J79" i="39" s="1"/>
  <c r="I73" i="19"/>
  <c r="I73" i="39" s="1"/>
  <c r="I79" i="39" s="1"/>
  <c r="H73" i="19"/>
  <c r="H73" i="39" s="1"/>
  <c r="H79" i="39" s="1"/>
  <c r="G73" i="19"/>
  <c r="F73" i="19"/>
  <c r="F73" i="39" s="1"/>
  <c r="F79" i="39" s="1"/>
  <c r="E73" i="19"/>
  <c r="E73" i="39" s="1"/>
  <c r="E79" i="39" s="1"/>
  <c r="D73" i="19"/>
  <c r="D73" i="39" s="1"/>
  <c r="A72" i="19"/>
  <c r="L63" i="19"/>
  <c r="L63" i="39" s="1"/>
  <c r="L69" i="39" s="1"/>
  <c r="K63" i="19"/>
  <c r="K63" i="39" s="1"/>
  <c r="K69" i="39" s="1"/>
  <c r="J63" i="19"/>
  <c r="J63" i="39" s="1"/>
  <c r="I63" i="19"/>
  <c r="I63" i="39" s="1"/>
  <c r="I69" i="39" s="1"/>
  <c r="H63" i="19"/>
  <c r="H63" i="39" s="1"/>
  <c r="H69" i="39" s="1"/>
  <c r="G63" i="19"/>
  <c r="G63" i="39" s="1"/>
  <c r="G69" i="39" s="1"/>
  <c r="F63" i="19"/>
  <c r="F63" i="39" s="1"/>
  <c r="F69" i="39" s="1"/>
  <c r="E63" i="19"/>
  <c r="E63" i="39" s="1"/>
  <c r="E69" i="39" s="1"/>
  <c r="D63" i="19"/>
  <c r="D63" i="39" s="1"/>
  <c r="D69" i="39" s="1"/>
  <c r="A62" i="19"/>
  <c r="K52" i="19"/>
  <c r="K52" i="39" s="1"/>
  <c r="K58" i="39" s="1"/>
  <c r="J52" i="19"/>
  <c r="J52" i="39" s="1"/>
  <c r="J58" i="39" s="1"/>
  <c r="I52" i="19"/>
  <c r="I52" i="39" s="1"/>
  <c r="I58" i="39" s="1"/>
  <c r="H52" i="19"/>
  <c r="H52" i="39" s="1"/>
  <c r="H58" i="39" s="1"/>
  <c r="G52" i="19"/>
  <c r="G52" i="39" s="1"/>
  <c r="G58" i="39" s="1"/>
  <c r="F52" i="19"/>
  <c r="F52" i="39" s="1"/>
  <c r="F58" i="39" s="1"/>
  <c r="E52" i="19"/>
  <c r="E52" i="39" s="1"/>
  <c r="E58" i="39" s="1"/>
  <c r="D52" i="19"/>
  <c r="D52" i="39" s="1"/>
  <c r="D58" i="39" s="1"/>
  <c r="E41" i="19"/>
  <c r="E41" i="39" s="1"/>
  <c r="E47" i="39" s="1"/>
  <c r="D41" i="19"/>
  <c r="D41" i="39" s="1"/>
  <c r="D47" i="39" s="1"/>
  <c r="A40" i="19"/>
  <c r="G29" i="19"/>
  <c r="F29" i="19"/>
  <c r="F29" i="39" s="1"/>
  <c r="F35" i="39" s="1"/>
  <c r="E29" i="19"/>
  <c r="E29" i="39" s="1"/>
  <c r="E35" i="39" s="1"/>
  <c r="D29" i="19"/>
  <c r="D29" i="39" s="1"/>
  <c r="A28" i="19"/>
  <c r="O18" i="19"/>
  <c r="O18" i="39" s="1"/>
  <c r="O24" i="39" s="1"/>
  <c r="N18" i="19"/>
  <c r="N18" i="39" s="1"/>
  <c r="N24" i="39" s="1"/>
  <c r="M18" i="19"/>
  <c r="M18" i="39" s="1"/>
  <c r="M24" i="39" s="1"/>
  <c r="L18" i="19"/>
  <c r="L18" i="39" s="1"/>
  <c r="L24" i="39" s="1"/>
  <c r="K18" i="19"/>
  <c r="K18" i="39" s="1"/>
  <c r="K24" i="39" s="1"/>
  <c r="J18" i="19"/>
  <c r="J18" i="39" s="1"/>
  <c r="J24" i="39" s="1"/>
  <c r="I18" i="19"/>
  <c r="I18" i="39" s="1"/>
  <c r="I24" i="39" s="1"/>
  <c r="H18" i="19"/>
  <c r="H18" i="39" s="1"/>
  <c r="H24" i="39" s="1"/>
  <c r="G18" i="19"/>
  <c r="F18" i="19"/>
  <c r="F18" i="39" s="1"/>
  <c r="F24" i="39" s="1"/>
  <c r="E18" i="19"/>
  <c r="E18" i="39" s="1"/>
  <c r="E24" i="39" s="1"/>
  <c r="D18" i="19"/>
  <c r="D18" i="39" s="1"/>
  <c r="A17" i="19"/>
  <c r="D172" i="39" l="1"/>
  <c r="J166" i="39"/>
  <c r="J172" i="39" s="1"/>
  <c r="D24" i="39"/>
  <c r="G24" i="39" s="1"/>
  <c r="G18" i="39"/>
  <c r="D79" i="39"/>
  <c r="G73" i="39"/>
  <c r="G79" i="39" s="1"/>
  <c r="G190" i="39"/>
  <c r="G196" i="39" s="1"/>
  <c r="E196" i="39"/>
  <c r="I145" i="39"/>
  <c r="I151" i="39" s="1"/>
  <c r="D151" i="39"/>
  <c r="G29" i="39"/>
  <c r="D35" i="39"/>
  <c r="G35" i="39" s="1"/>
  <c r="G156" i="39"/>
  <c r="G162" i="39" s="1"/>
  <c r="E162" i="39"/>
  <c r="K166" i="39"/>
  <c r="K172" i="39" s="1"/>
  <c r="E172" i="39"/>
  <c r="G179" i="39"/>
  <c r="G185" i="39" s="1"/>
  <c r="D185" i="39"/>
  <c r="D219" i="19"/>
  <c r="D213" i="19"/>
  <c r="F219" i="36" l="1"/>
  <c r="F218" i="11"/>
  <c r="I219" i="33" l="1"/>
  <c r="H219" i="33"/>
  <c r="G219" i="33"/>
  <c r="F219" i="33"/>
  <c r="E219" i="33"/>
  <c r="D219" i="33"/>
  <c r="D222" i="33" s="1"/>
  <c r="E213" i="33"/>
  <c r="L209" i="33"/>
  <c r="K209" i="33"/>
  <c r="J209" i="33"/>
  <c r="I209" i="33"/>
  <c r="H209" i="33"/>
  <c r="G209" i="33"/>
  <c r="F209" i="33"/>
  <c r="E209" i="33"/>
  <c r="D209" i="33"/>
  <c r="L196" i="33"/>
  <c r="K196" i="33"/>
  <c r="I196" i="33"/>
  <c r="H196" i="33"/>
  <c r="F196" i="33"/>
  <c r="E196" i="33"/>
  <c r="D196" i="33"/>
  <c r="G195" i="33"/>
  <c r="G194" i="33"/>
  <c r="G193" i="33"/>
  <c r="G192" i="33"/>
  <c r="G191" i="33"/>
  <c r="G190" i="33"/>
  <c r="G189" i="33"/>
  <c r="G196" i="33" s="1"/>
  <c r="O185" i="33"/>
  <c r="N185" i="33"/>
  <c r="M185" i="33"/>
  <c r="L185" i="33"/>
  <c r="K185" i="33"/>
  <c r="J185" i="33"/>
  <c r="I185" i="33"/>
  <c r="H185" i="33"/>
  <c r="F185" i="33"/>
  <c r="E185" i="33"/>
  <c r="D185" i="33"/>
  <c r="G184" i="33"/>
  <c r="G183" i="33"/>
  <c r="G182" i="33"/>
  <c r="G181" i="33"/>
  <c r="G180" i="33"/>
  <c r="G179" i="33"/>
  <c r="G178" i="33"/>
  <c r="G185" i="33" s="1"/>
  <c r="I172" i="33"/>
  <c r="H172" i="33"/>
  <c r="G172" i="33"/>
  <c r="F172" i="33"/>
  <c r="E172" i="33"/>
  <c r="D172" i="33"/>
  <c r="K171" i="33"/>
  <c r="J171" i="33"/>
  <c r="K170" i="33"/>
  <c r="J170" i="33"/>
  <c r="K169" i="33"/>
  <c r="J169" i="33"/>
  <c r="K168" i="33"/>
  <c r="J168" i="33"/>
  <c r="K167" i="33"/>
  <c r="J167" i="33"/>
  <c r="K166" i="33"/>
  <c r="J166" i="33"/>
  <c r="K165" i="33"/>
  <c r="K172" i="33" s="1"/>
  <c r="J165" i="33"/>
  <c r="J172" i="33" s="1"/>
  <c r="J162" i="33"/>
  <c r="I162" i="33"/>
  <c r="H162" i="33"/>
  <c r="F162" i="33"/>
  <c r="E162" i="33"/>
  <c r="D162" i="33"/>
  <c r="G161" i="33"/>
  <c r="G160" i="33"/>
  <c r="G159" i="33"/>
  <c r="G158" i="33"/>
  <c r="G157" i="33"/>
  <c r="G156" i="33"/>
  <c r="G155" i="33"/>
  <c r="G162" i="33" s="1"/>
  <c r="N151" i="33"/>
  <c r="M151" i="33"/>
  <c r="L151" i="33"/>
  <c r="K151" i="33"/>
  <c r="J151" i="33"/>
  <c r="H151" i="33"/>
  <c r="G151" i="33"/>
  <c r="F151" i="33"/>
  <c r="E151" i="33"/>
  <c r="D151" i="33"/>
  <c r="I150" i="33"/>
  <c r="I149" i="33"/>
  <c r="I148" i="33"/>
  <c r="I147" i="33"/>
  <c r="I146" i="33"/>
  <c r="I145" i="33"/>
  <c r="I144" i="33"/>
  <c r="I151" i="33" s="1"/>
  <c r="F137" i="33"/>
  <c r="E137" i="33"/>
  <c r="D137" i="33"/>
  <c r="G136" i="33"/>
  <c r="G135" i="33"/>
  <c r="G134" i="33"/>
  <c r="G133" i="33"/>
  <c r="G132" i="33"/>
  <c r="G131" i="33"/>
  <c r="G137" i="33" s="1"/>
  <c r="L127" i="33"/>
  <c r="K127" i="33"/>
  <c r="I127" i="33"/>
  <c r="H127" i="33"/>
  <c r="G127" i="33"/>
  <c r="F127" i="33"/>
  <c r="E127" i="33"/>
  <c r="D127" i="33"/>
  <c r="L116" i="33"/>
  <c r="K116" i="33"/>
  <c r="I116" i="33"/>
  <c r="H116" i="33"/>
  <c r="G116" i="33"/>
  <c r="F116" i="33"/>
  <c r="E116" i="33"/>
  <c r="D116" i="33"/>
  <c r="M105" i="33"/>
  <c r="L105" i="33"/>
  <c r="K105" i="33"/>
  <c r="J105" i="33"/>
  <c r="I105" i="33"/>
  <c r="H105" i="33"/>
  <c r="G105" i="33"/>
  <c r="F105" i="33"/>
  <c r="E105" i="33"/>
  <c r="D105" i="33"/>
  <c r="K92" i="33"/>
  <c r="J92" i="33"/>
  <c r="I92" i="33"/>
  <c r="H92" i="33"/>
  <c r="G92" i="33"/>
  <c r="F92" i="33"/>
  <c r="E92" i="33"/>
  <c r="D92" i="33"/>
  <c r="O79" i="33"/>
  <c r="N79" i="33"/>
  <c r="M79" i="33"/>
  <c r="L79" i="33"/>
  <c r="K79" i="33"/>
  <c r="J79" i="33"/>
  <c r="I79" i="33"/>
  <c r="F79" i="33"/>
  <c r="E79" i="33"/>
  <c r="D79" i="33"/>
  <c r="G78" i="33"/>
  <c r="G77" i="33"/>
  <c r="G76" i="33"/>
  <c r="G75" i="33"/>
  <c r="G74" i="33"/>
  <c r="G73" i="33"/>
  <c r="G72" i="33"/>
  <c r="G79" i="33" s="1"/>
  <c r="L69" i="33"/>
  <c r="K69" i="33"/>
  <c r="I69" i="33"/>
  <c r="H69" i="33"/>
  <c r="G69" i="33"/>
  <c r="F69" i="33"/>
  <c r="E69" i="33"/>
  <c r="D69" i="33"/>
  <c r="K58" i="33"/>
  <c r="J58" i="33"/>
  <c r="I58" i="33"/>
  <c r="H58" i="33"/>
  <c r="G58" i="33"/>
  <c r="F58" i="33"/>
  <c r="E58" i="33"/>
  <c r="D58" i="33"/>
  <c r="E47" i="33"/>
  <c r="D47" i="33"/>
  <c r="F35" i="33"/>
  <c r="E35" i="33"/>
  <c r="G35" i="33" s="1"/>
  <c r="D35" i="33"/>
  <c r="G34" i="33"/>
  <c r="G33" i="33"/>
  <c r="G32" i="33"/>
  <c r="G31" i="33"/>
  <c r="G30" i="33"/>
  <c r="G29" i="33"/>
  <c r="G28" i="33"/>
  <c r="O24" i="33"/>
  <c r="N24" i="33"/>
  <c r="M24" i="33"/>
  <c r="L24" i="33"/>
  <c r="K24" i="33"/>
  <c r="J24" i="33"/>
  <c r="I24" i="33"/>
  <c r="H24" i="33"/>
  <c r="F24" i="33"/>
  <c r="E24" i="33"/>
  <c r="D24" i="33"/>
  <c r="G24" i="33" s="1"/>
  <c r="G23" i="33"/>
  <c r="G22" i="33"/>
  <c r="G21" i="33"/>
  <c r="G20" i="33"/>
  <c r="G19" i="33"/>
  <c r="G18" i="33"/>
  <c r="G17" i="33"/>
  <c r="I219" i="13" l="1"/>
  <c r="H219" i="13"/>
  <c r="G219" i="13"/>
  <c r="F219" i="13"/>
  <c r="E219" i="13"/>
  <c r="D219" i="13"/>
  <c r="L209" i="13"/>
  <c r="K209" i="13"/>
  <c r="J209" i="13"/>
  <c r="I209" i="13"/>
  <c r="H209" i="13"/>
  <c r="G209" i="13"/>
  <c r="F209" i="13"/>
  <c r="E209" i="13"/>
  <c r="D209" i="13"/>
  <c r="L196" i="13"/>
  <c r="K196" i="13"/>
  <c r="J196" i="13"/>
  <c r="I196" i="13"/>
  <c r="H196" i="13"/>
  <c r="F196" i="13"/>
  <c r="E196" i="13"/>
  <c r="D196" i="13"/>
  <c r="G195" i="13"/>
  <c r="G194" i="13"/>
  <c r="G193" i="13"/>
  <c r="G192" i="13"/>
  <c r="G191" i="13"/>
  <c r="G190" i="13"/>
  <c r="G196" i="13" s="1"/>
  <c r="G189" i="13"/>
  <c r="O185" i="13"/>
  <c r="N185" i="13"/>
  <c r="M185" i="13"/>
  <c r="L185" i="13"/>
  <c r="K185" i="13"/>
  <c r="J185" i="13"/>
  <c r="I185" i="13"/>
  <c r="H185" i="13"/>
  <c r="F185" i="13"/>
  <c r="E185" i="13"/>
  <c r="D185" i="13"/>
  <c r="G184" i="13"/>
  <c r="G183" i="13"/>
  <c r="G182" i="13"/>
  <c r="G181" i="13"/>
  <c r="G180" i="13"/>
  <c r="G179" i="13"/>
  <c r="G178" i="13"/>
  <c r="G185" i="13" s="1"/>
  <c r="I172" i="13"/>
  <c r="H172" i="13"/>
  <c r="G172" i="13"/>
  <c r="F172" i="13"/>
  <c r="E172" i="13"/>
  <c r="D172" i="13"/>
  <c r="K171" i="13"/>
  <c r="J171" i="13"/>
  <c r="K170" i="13"/>
  <c r="J170" i="13"/>
  <c r="K169" i="13"/>
  <c r="J169" i="13"/>
  <c r="K168" i="13"/>
  <c r="J168" i="13"/>
  <c r="K167" i="13"/>
  <c r="J167" i="13"/>
  <c r="K166" i="13"/>
  <c r="J166" i="13"/>
  <c r="K165" i="13"/>
  <c r="K172" i="13" s="1"/>
  <c r="J165" i="13"/>
  <c r="J172" i="13" s="1"/>
  <c r="J162" i="13"/>
  <c r="I162" i="13"/>
  <c r="H162" i="13"/>
  <c r="F162" i="13"/>
  <c r="E162" i="13"/>
  <c r="D162" i="13"/>
  <c r="G161" i="13"/>
  <c r="G160" i="13"/>
  <c r="G159" i="13"/>
  <c r="G158" i="13"/>
  <c r="G157" i="13"/>
  <c r="G156" i="13"/>
  <c r="G155" i="13"/>
  <c r="G162" i="13" s="1"/>
  <c r="N151" i="13"/>
  <c r="M151" i="13"/>
  <c r="L151" i="13"/>
  <c r="K151" i="13"/>
  <c r="J151" i="13"/>
  <c r="H151" i="13"/>
  <c r="G151" i="13"/>
  <c r="F151" i="13"/>
  <c r="E151" i="13"/>
  <c r="D151" i="13"/>
  <c r="I150" i="13"/>
  <c r="I149" i="13"/>
  <c r="I148" i="13"/>
  <c r="I147" i="13"/>
  <c r="I146" i="13"/>
  <c r="I145" i="13"/>
  <c r="I144" i="13"/>
  <c r="I151" i="13" s="1"/>
  <c r="F137" i="13"/>
  <c r="E137" i="13"/>
  <c r="D137" i="13"/>
  <c r="G136" i="13"/>
  <c r="G135" i="13"/>
  <c r="G134" i="13"/>
  <c r="G133" i="13"/>
  <c r="G132" i="13"/>
  <c r="G131" i="13"/>
  <c r="G137" i="13" s="1"/>
  <c r="L127" i="13"/>
  <c r="K127" i="13"/>
  <c r="I127" i="13"/>
  <c r="H127" i="13"/>
  <c r="G127" i="13"/>
  <c r="F127" i="13"/>
  <c r="E127" i="13"/>
  <c r="D127" i="13"/>
  <c r="L116" i="13"/>
  <c r="K116" i="13"/>
  <c r="I116" i="13"/>
  <c r="H116" i="13"/>
  <c r="G116" i="13"/>
  <c r="F116" i="13"/>
  <c r="E116" i="13"/>
  <c r="D116" i="13"/>
  <c r="L105" i="13"/>
  <c r="K105" i="13"/>
  <c r="J105" i="13"/>
  <c r="I105" i="13"/>
  <c r="H105" i="13"/>
  <c r="G105" i="13"/>
  <c r="F105" i="13"/>
  <c r="E105" i="13"/>
  <c r="D105" i="13"/>
  <c r="K92" i="13"/>
  <c r="J92" i="13"/>
  <c r="I92" i="13"/>
  <c r="H92" i="13"/>
  <c r="G92" i="13"/>
  <c r="F92" i="13"/>
  <c r="E92" i="13"/>
  <c r="D92" i="13"/>
  <c r="O79" i="13"/>
  <c r="N79" i="13"/>
  <c r="M79" i="13"/>
  <c r="L79" i="13"/>
  <c r="K79" i="13"/>
  <c r="J79" i="13"/>
  <c r="I79" i="13"/>
  <c r="F79" i="13"/>
  <c r="E79" i="13"/>
  <c r="D79" i="13"/>
  <c r="G78" i="13"/>
  <c r="G77" i="13"/>
  <c r="G76" i="13"/>
  <c r="G75" i="13"/>
  <c r="G74" i="13"/>
  <c r="G73" i="13"/>
  <c r="G72" i="13"/>
  <c r="G79" i="13" s="1"/>
  <c r="L69" i="13"/>
  <c r="K69" i="13"/>
  <c r="I69" i="13"/>
  <c r="H69" i="13"/>
  <c r="G69" i="13"/>
  <c r="F69" i="13"/>
  <c r="E69" i="13"/>
  <c r="D69" i="13"/>
  <c r="K58" i="13"/>
  <c r="J58" i="13"/>
  <c r="I58" i="13"/>
  <c r="H58" i="13"/>
  <c r="G58" i="13"/>
  <c r="F58" i="13"/>
  <c r="E58" i="13"/>
  <c r="D58" i="13"/>
  <c r="E47" i="13"/>
  <c r="D47" i="13"/>
  <c r="F35" i="13"/>
  <c r="E35" i="13"/>
  <c r="G35" i="13" s="1"/>
  <c r="D35" i="13"/>
  <c r="G34" i="13"/>
  <c r="G33" i="13"/>
  <c r="G32" i="13"/>
  <c r="G31" i="13"/>
  <c r="G30" i="13"/>
  <c r="G29" i="13"/>
  <c r="G28" i="13"/>
  <c r="O24" i="13"/>
  <c r="N24" i="13"/>
  <c r="M24" i="13"/>
  <c r="L24" i="13"/>
  <c r="K24" i="13"/>
  <c r="J24" i="13"/>
  <c r="I24" i="13"/>
  <c r="H24" i="13"/>
  <c r="F24" i="13"/>
  <c r="E24" i="13"/>
  <c r="D24" i="13"/>
  <c r="G24" i="13" s="1"/>
  <c r="G23" i="13"/>
  <c r="G22" i="13"/>
  <c r="G21" i="13"/>
  <c r="G20" i="13"/>
  <c r="G18" i="13"/>
  <c r="G17" i="13"/>
  <c r="G18" i="35" l="1"/>
  <c r="G18" i="24"/>
  <c r="I219" i="36" l="1"/>
  <c r="H219" i="36"/>
  <c r="G219" i="36"/>
  <c r="E219" i="36"/>
  <c r="D219" i="36"/>
  <c r="E213" i="36"/>
  <c r="D213" i="36"/>
  <c r="J213" i="36" s="1"/>
  <c r="L209" i="36"/>
  <c r="K209" i="36"/>
  <c r="J209" i="36"/>
  <c r="I209" i="36"/>
  <c r="H209" i="36"/>
  <c r="G209" i="36"/>
  <c r="F209" i="36"/>
  <c r="E209" i="36"/>
  <c r="D209" i="36"/>
  <c r="L196" i="36"/>
  <c r="K196" i="36"/>
  <c r="J196" i="36"/>
  <c r="I196" i="36"/>
  <c r="H196" i="36"/>
  <c r="F196" i="36"/>
  <c r="E196" i="36"/>
  <c r="G195" i="36"/>
  <c r="G194" i="36"/>
  <c r="G193" i="36"/>
  <c r="G192" i="36"/>
  <c r="G191" i="36"/>
  <c r="G190" i="36"/>
  <c r="G196" i="36" s="1"/>
  <c r="G189" i="36"/>
  <c r="O185" i="36"/>
  <c r="N185" i="36"/>
  <c r="M185" i="36"/>
  <c r="L185" i="36"/>
  <c r="F185" i="36"/>
  <c r="G184" i="36"/>
  <c r="G183" i="36"/>
  <c r="G182" i="36"/>
  <c r="G181" i="36"/>
  <c r="G180" i="36"/>
  <c r="G179" i="36"/>
  <c r="G178" i="36"/>
  <c r="G185" i="36" s="1"/>
  <c r="I172" i="36"/>
  <c r="H172" i="36"/>
  <c r="G172" i="36"/>
  <c r="F172" i="36"/>
  <c r="E172" i="36"/>
  <c r="D172" i="36"/>
  <c r="K171" i="36"/>
  <c r="J171" i="36"/>
  <c r="K170" i="36"/>
  <c r="J170" i="36"/>
  <c r="K169" i="36"/>
  <c r="J169" i="36"/>
  <c r="K168" i="36"/>
  <c r="J168" i="36"/>
  <c r="K167" i="36"/>
  <c r="J167" i="36"/>
  <c r="K166" i="36"/>
  <c r="J166" i="36"/>
  <c r="K165" i="36"/>
  <c r="K172" i="36" s="1"/>
  <c r="J165" i="36"/>
  <c r="J172" i="36" s="1"/>
  <c r="J162" i="36"/>
  <c r="I162" i="36"/>
  <c r="H162" i="36"/>
  <c r="F162" i="36"/>
  <c r="E162" i="36"/>
  <c r="D162" i="36"/>
  <c r="G161" i="36"/>
  <c r="G160" i="36"/>
  <c r="G159" i="36"/>
  <c r="G158" i="36"/>
  <c r="G156" i="36"/>
  <c r="G162" i="36" s="1"/>
  <c r="G155" i="36"/>
  <c r="N151" i="36"/>
  <c r="M151" i="36"/>
  <c r="L151" i="36"/>
  <c r="K151" i="36"/>
  <c r="J151" i="36"/>
  <c r="H151" i="36"/>
  <c r="G151" i="36"/>
  <c r="F151" i="36"/>
  <c r="E151" i="36"/>
  <c r="D151" i="36"/>
  <c r="I150" i="36"/>
  <c r="I149" i="36"/>
  <c r="I148" i="36"/>
  <c r="I147" i="36"/>
  <c r="I146" i="36"/>
  <c r="I145" i="36"/>
  <c r="I144" i="36"/>
  <c r="I151" i="36" s="1"/>
  <c r="F137" i="36"/>
  <c r="E137" i="36"/>
  <c r="D137" i="36"/>
  <c r="G136" i="36"/>
  <c r="G135" i="36"/>
  <c r="G134" i="36"/>
  <c r="G133" i="36"/>
  <c r="G132" i="36"/>
  <c r="G137" i="36" s="1"/>
  <c r="G131" i="36"/>
  <c r="L127" i="36"/>
  <c r="K127" i="36"/>
  <c r="I127" i="36"/>
  <c r="H127" i="36"/>
  <c r="G127" i="36"/>
  <c r="F127" i="36"/>
  <c r="E127" i="36"/>
  <c r="D127" i="36"/>
  <c r="L116" i="36"/>
  <c r="K116" i="36"/>
  <c r="I116" i="36"/>
  <c r="H116" i="36"/>
  <c r="G116" i="36"/>
  <c r="F116" i="36"/>
  <c r="E116" i="36"/>
  <c r="D116" i="36"/>
  <c r="M105" i="36"/>
  <c r="L105" i="36"/>
  <c r="K105" i="36"/>
  <c r="J105" i="36"/>
  <c r="I105" i="36"/>
  <c r="H105" i="36"/>
  <c r="G105" i="36"/>
  <c r="F105" i="36"/>
  <c r="E105" i="36"/>
  <c r="D105" i="36"/>
  <c r="K92" i="36"/>
  <c r="J92" i="36"/>
  <c r="I92" i="36"/>
  <c r="H92" i="36"/>
  <c r="G92" i="36"/>
  <c r="F92" i="36"/>
  <c r="E92" i="36"/>
  <c r="D92" i="36"/>
  <c r="O79" i="36"/>
  <c r="N79" i="36"/>
  <c r="M79" i="36"/>
  <c r="L79" i="36"/>
  <c r="K79" i="36"/>
  <c r="J79" i="36"/>
  <c r="I79" i="36"/>
  <c r="F79" i="36"/>
  <c r="E79" i="36"/>
  <c r="D79" i="36"/>
  <c r="G78" i="36"/>
  <c r="G77" i="36"/>
  <c r="G76" i="36"/>
  <c r="G75" i="36"/>
  <c r="G72" i="36"/>
  <c r="G79" i="36" s="1"/>
  <c r="L69" i="36"/>
  <c r="K69" i="36"/>
  <c r="I69" i="36"/>
  <c r="H69" i="36"/>
  <c r="G69" i="36"/>
  <c r="F69" i="36"/>
  <c r="E69" i="36"/>
  <c r="D69" i="36"/>
  <c r="K58" i="36"/>
  <c r="J58" i="36"/>
  <c r="I58" i="36"/>
  <c r="H58" i="36"/>
  <c r="G58" i="36"/>
  <c r="F58" i="36"/>
  <c r="E58" i="36"/>
  <c r="D58" i="36"/>
  <c r="E47" i="36"/>
  <c r="D47" i="36"/>
  <c r="F35" i="36"/>
  <c r="E35" i="36"/>
  <c r="D35" i="36"/>
  <c r="G35" i="36" s="1"/>
  <c r="G34" i="36"/>
  <c r="G33" i="36"/>
  <c r="G32" i="36"/>
  <c r="G31" i="36"/>
  <c r="G30" i="36"/>
  <c r="G29" i="36"/>
  <c r="G28" i="36"/>
  <c r="O24" i="36"/>
  <c r="N24" i="36"/>
  <c r="M24" i="36"/>
  <c r="L24" i="36"/>
  <c r="K24" i="36"/>
  <c r="J24" i="36"/>
  <c r="I24" i="36"/>
  <c r="H24" i="36"/>
  <c r="F24" i="36"/>
  <c r="E24" i="36"/>
  <c r="D24" i="36"/>
  <c r="G24" i="36" s="1"/>
  <c r="G23" i="36"/>
  <c r="G22" i="36"/>
  <c r="G21" i="36"/>
  <c r="G20" i="36"/>
  <c r="G19" i="36"/>
  <c r="G18" i="36"/>
  <c r="G17" i="36"/>
  <c r="I219" i="35" l="1"/>
  <c r="H219" i="35"/>
  <c r="G219" i="35"/>
  <c r="F219" i="35"/>
  <c r="E219" i="35"/>
  <c r="D219" i="35"/>
  <c r="F213" i="35"/>
  <c r="J213" i="35" s="1"/>
  <c r="L209" i="35"/>
  <c r="K209" i="35"/>
  <c r="J209" i="35"/>
  <c r="I209" i="35"/>
  <c r="H209" i="35"/>
  <c r="G209" i="35"/>
  <c r="F209" i="35"/>
  <c r="E209" i="35"/>
  <c r="D209" i="35"/>
  <c r="L196" i="35"/>
  <c r="K196" i="35"/>
  <c r="J196" i="35"/>
  <c r="I196" i="35"/>
  <c r="H196" i="35"/>
  <c r="E196" i="35"/>
  <c r="D196" i="35"/>
  <c r="G195" i="35"/>
  <c r="G194" i="35"/>
  <c r="G193" i="35"/>
  <c r="G192" i="35"/>
  <c r="G191" i="35"/>
  <c r="G190" i="35"/>
  <c r="G189" i="35"/>
  <c r="G196" i="35" s="1"/>
  <c r="O185" i="35"/>
  <c r="N185" i="35"/>
  <c r="M185" i="35"/>
  <c r="L185" i="35"/>
  <c r="K185" i="35"/>
  <c r="J185" i="35"/>
  <c r="I185" i="35"/>
  <c r="H185" i="35"/>
  <c r="F185" i="35"/>
  <c r="E185" i="35"/>
  <c r="D185" i="35"/>
  <c r="G184" i="35"/>
  <c r="G183" i="35"/>
  <c r="G182" i="35"/>
  <c r="G181" i="35"/>
  <c r="G179" i="35"/>
  <c r="G185" i="35" s="1"/>
  <c r="G178" i="35"/>
  <c r="I172" i="35"/>
  <c r="H172" i="35"/>
  <c r="G172" i="35"/>
  <c r="F172" i="35"/>
  <c r="E172" i="35"/>
  <c r="D172" i="35"/>
  <c r="K171" i="35"/>
  <c r="J171" i="35"/>
  <c r="K170" i="35"/>
  <c r="J170" i="35"/>
  <c r="K169" i="35"/>
  <c r="J169" i="35"/>
  <c r="K168" i="35"/>
  <c r="J168" i="35"/>
  <c r="K167" i="35"/>
  <c r="J167" i="35"/>
  <c r="K166" i="35"/>
  <c r="J166" i="35"/>
  <c r="K165" i="35"/>
  <c r="K172" i="35" s="1"/>
  <c r="J165" i="35"/>
  <c r="J172" i="35" s="1"/>
  <c r="J162" i="35"/>
  <c r="I162" i="35"/>
  <c r="H162" i="35"/>
  <c r="F162" i="35"/>
  <c r="E162" i="35"/>
  <c r="D162" i="35"/>
  <c r="G161" i="35"/>
  <c r="G160" i="35"/>
  <c r="G159" i="35"/>
  <c r="G158" i="35"/>
  <c r="G157" i="35"/>
  <c r="G156" i="35"/>
  <c r="G155" i="35"/>
  <c r="G162" i="35" s="1"/>
  <c r="N151" i="35"/>
  <c r="M151" i="35"/>
  <c r="L151" i="35"/>
  <c r="K151" i="35"/>
  <c r="J151" i="35"/>
  <c r="H151" i="35"/>
  <c r="G151" i="35"/>
  <c r="F151" i="35"/>
  <c r="E151" i="35"/>
  <c r="D151" i="35"/>
  <c r="I150" i="35"/>
  <c r="I149" i="35"/>
  <c r="I148" i="35"/>
  <c r="I147" i="35"/>
  <c r="I146" i="35"/>
  <c r="I145" i="35"/>
  <c r="I144" i="35"/>
  <c r="I151" i="35" s="1"/>
  <c r="F137" i="35"/>
  <c r="E137" i="35"/>
  <c r="D137" i="35"/>
  <c r="G136" i="35"/>
  <c r="G135" i="35"/>
  <c r="G134" i="35"/>
  <c r="G133" i="35"/>
  <c r="G132" i="35"/>
  <c r="G131" i="35"/>
  <c r="G137" i="35" s="1"/>
  <c r="L127" i="35"/>
  <c r="K127" i="35"/>
  <c r="I127" i="35"/>
  <c r="H127" i="35"/>
  <c r="G127" i="35"/>
  <c r="F127" i="35"/>
  <c r="E127" i="35"/>
  <c r="D127" i="35"/>
  <c r="L116" i="35"/>
  <c r="K116" i="35"/>
  <c r="I116" i="35"/>
  <c r="H116" i="35"/>
  <c r="G116" i="35"/>
  <c r="F116" i="35"/>
  <c r="E116" i="35"/>
  <c r="D116" i="35"/>
  <c r="M105" i="35"/>
  <c r="L105" i="35"/>
  <c r="K105" i="35"/>
  <c r="J105" i="35"/>
  <c r="I105" i="35"/>
  <c r="H105" i="35"/>
  <c r="G105" i="35"/>
  <c r="F105" i="35"/>
  <c r="E105" i="35"/>
  <c r="D105" i="35"/>
  <c r="K92" i="35"/>
  <c r="J92" i="35"/>
  <c r="I92" i="35"/>
  <c r="H92" i="35"/>
  <c r="G92" i="35"/>
  <c r="F92" i="35"/>
  <c r="E92" i="35"/>
  <c r="D92" i="35"/>
  <c r="O79" i="35"/>
  <c r="N79" i="35"/>
  <c r="M79" i="35"/>
  <c r="L79" i="35"/>
  <c r="K79" i="35"/>
  <c r="J79" i="35"/>
  <c r="I79" i="35"/>
  <c r="F79" i="35"/>
  <c r="E79" i="35"/>
  <c r="D79" i="35"/>
  <c r="G78" i="35"/>
  <c r="G77" i="35"/>
  <c r="G76" i="35"/>
  <c r="G75" i="35"/>
  <c r="G74" i="35"/>
  <c r="G73" i="35"/>
  <c r="G72" i="35"/>
  <c r="G79" i="35" s="1"/>
  <c r="L69" i="35"/>
  <c r="K69" i="35"/>
  <c r="I69" i="35"/>
  <c r="H69" i="35"/>
  <c r="G69" i="35"/>
  <c r="F69" i="35"/>
  <c r="E69" i="35"/>
  <c r="D69" i="35"/>
  <c r="K58" i="35"/>
  <c r="J58" i="35"/>
  <c r="I58" i="35"/>
  <c r="H58" i="35"/>
  <c r="G58" i="35"/>
  <c r="F58" i="35"/>
  <c r="E58" i="35"/>
  <c r="D58" i="35"/>
  <c r="E47" i="35"/>
  <c r="D47" i="35"/>
  <c r="F35" i="35"/>
  <c r="G35" i="35" s="1"/>
  <c r="E35" i="35"/>
  <c r="D35" i="35"/>
  <c r="G34" i="35"/>
  <c r="G33" i="35"/>
  <c r="G32" i="35"/>
  <c r="G31" i="35"/>
  <c r="G28" i="35"/>
  <c r="O24" i="35"/>
  <c r="N24" i="35"/>
  <c r="M24" i="35"/>
  <c r="L24" i="35"/>
  <c r="K24" i="35"/>
  <c r="J24" i="35"/>
  <c r="I24" i="35"/>
  <c r="H24" i="35"/>
  <c r="G24" i="35"/>
  <c r="F24" i="35"/>
  <c r="E24" i="35"/>
  <c r="D24" i="35"/>
  <c r="G23" i="35"/>
  <c r="G22" i="35"/>
  <c r="G21" i="35"/>
  <c r="G20" i="35"/>
  <c r="G19" i="35"/>
  <c r="G17" i="35"/>
  <c r="I219" i="34" l="1"/>
  <c r="H219" i="34"/>
  <c r="G219" i="34"/>
  <c r="F219" i="34"/>
  <c r="E219" i="34"/>
  <c r="D219" i="34"/>
  <c r="F213" i="34"/>
  <c r="L209" i="34"/>
  <c r="K209" i="34"/>
  <c r="J209" i="34"/>
  <c r="I209" i="34"/>
  <c r="H209" i="34"/>
  <c r="G209" i="34"/>
  <c r="F209" i="34"/>
  <c r="E209" i="34"/>
  <c r="D209" i="34"/>
  <c r="L196" i="34"/>
  <c r="K196" i="34"/>
  <c r="J196" i="34"/>
  <c r="I196" i="34"/>
  <c r="H196" i="34"/>
  <c r="F196" i="34"/>
  <c r="E196" i="34"/>
  <c r="D196" i="34"/>
  <c r="G195" i="34"/>
  <c r="G194" i="34"/>
  <c r="G193" i="34"/>
  <c r="G192" i="34"/>
  <c r="G191" i="34"/>
  <c r="G190" i="34"/>
  <c r="G189" i="34"/>
  <c r="G196" i="34" s="1"/>
  <c r="O185" i="34"/>
  <c r="N185" i="34"/>
  <c r="M185" i="34"/>
  <c r="L185" i="34"/>
  <c r="K185" i="34"/>
  <c r="J185" i="34"/>
  <c r="I185" i="34"/>
  <c r="H185" i="34"/>
  <c r="F185" i="34"/>
  <c r="E185" i="34"/>
  <c r="D185" i="34"/>
  <c r="G184" i="34"/>
  <c r="G183" i="34"/>
  <c r="G182" i="34"/>
  <c r="G181" i="34"/>
  <c r="G180" i="34"/>
  <c r="G179" i="34"/>
  <c r="G178" i="34"/>
  <c r="G185" i="34" s="1"/>
  <c r="I172" i="34"/>
  <c r="H172" i="34"/>
  <c r="G172" i="34"/>
  <c r="F172" i="34"/>
  <c r="E172" i="34"/>
  <c r="D172" i="34"/>
  <c r="K171" i="34"/>
  <c r="J171" i="34"/>
  <c r="K170" i="34"/>
  <c r="J170" i="34"/>
  <c r="K169" i="34"/>
  <c r="J169" i="34"/>
  <c r="K168" i="34"/>
  <c r="J168" i="34"/>
  <c r="K167" i="34"/>
  <c r="J167" i="34"/>
  <c r="K166" i="34"/>
  <c r="J166" i="34"/>
  <c r="K165" i="34"/>
  <c r="K172" i="34" s="1"/>
  <c r="J165" i="34"/>
  <c r="J172" i="34" s="1"/>
  <c r="J162" i="34"/>
  <c r="I162" i="34"/>
  <c r="H162" i="34"/>
  <c r="F162" i="34"/>
  <c r="E162" i="34"/>
  <c r="D162" i="34"/>
  <c r="G161" i="34"/>
  <c r="G160" i="34"/>
  <c r="G159" i="34"/>
  <c r="G158" i="34"/>
  <c r="G157" i="34"/>
  <c r="G156" i="34"/>
  <c r="G155" i="34"/>
  <c r="G162" i="34" s="1"/>
  <c r="N151" i="34"/>
  <c r="M151" i="34"/>
  <c r="L151" i="34"/>
  <c r="K151" i="34"/>
  <c r="J151" i="34"/>
  <c r="H151" i="34"/>
  <c r="G151" i="34"/>
  <c r="F151" i="34"/>
  <c r="E151" i="34"/>
  <c r="D151" i="34"/>
  <c r="I150" i="34"/>
  <c r="I149" i="34"/>
  <c r="I148" i="34"/>
  <c r="I147" i="34"/>
  <c r="I146" i="34"/>
  <c r="I145" i="34"/>
  <c r="I144" i="34"/>
  <c r="I151" i="34" s="1"/>
  <c r="F137" i="34"/>
  <c r="E137" i="34"/>
  <c r="D137" i="34"/>
  <c r="G136" i="34"/>
  <c r="G135" i="34"/>
  <c r="G134" i="34"/>
  <c r="G133" i="34"/>
  <c r="G132" i="34"/>
  <c r="G131" i="34"/>
  <c r="G137" i="34" s="1"/>
  <c r="L127" i="34"/>
  <c r="K127" i="34"/>
  <c r="I127" i="34"/>
  <c r="H127" i="34"/>
  <c r="G127" i="34"/>
  <c r="F127" i="34"/>
  <c r="E127" i="34"/>
  <c r="D127" i="34"/>
  <c r="L116" i="34"/>
  <c r="K116" i="34"/>
  <c r="I116" i="34"/>
  <c r="H116" i="34"/>
  <c r="G116" i="34"/>
  <c r="F116" i="34"/>
  <c r="E116" i="34"/>
  <c r="D116" i="34"/>
  <c r="M105" i="34"/>
  <c r="L105" i="34"/>
  <c r="K105" i="34"/>
  <c r="J105" i="34"/>
  <c r="I105" i="34"/>
  <c r="H105" i="34"/>
  <c r="G105" i="34"/>
  <c r="F105" i="34"/>
  <c r="E105" i="34"/>
  <c r="D105" i="34"/>
  <c r="K92" i="34"/>
  <c r="J92" i="34"/>
  <c r="I92" i="34"/>
  <c r="H92" i="34"/>
  <c r="G92" i="34"/>
  <c r="F92" i="34"/>
  <c r="E92" i="34"/>
  <c r="D92" i="34"/>
  <c r="O79" i="34"/>
  <c r="N79" i="34"/>
  <c r="M79" i="34"/>
  <c r="L79" i="34"/>
  <c r="K79" i="34"/>
  <c r="J79" i="34"/>
  <c r="I79" i="34"/>
  <c r="F79" i="34"/>
  <c r="E79" i="34"/>
  <c r="D79" i="34"/>
  <c r="G78" i="34"/>
  <c r="G77" i="34"/>
  <c r="G76" i="34"/>
  <c r="G75" i="34"/>
  <c r="G74" i="34"/>
  <c r="G73" i="34"/>
  <c r="G72" i="34"/>
  <c r="G79" i="34" s="1"/>
  <c r="L69" i="34"/>
  <c r="K69" i="34"/>
  <c r="I69" i="34"/>
  <c r="H69" i="34"/>
  <c r="G69" i="34"/>
  <c r="F69" i="34"/>
  <c r="E69" i="34"/>
  <c r="D69" i="34"/>
  <c r="K58" i="34"/>
  <c r="J58" i="34"/>
  <c r="I58" i="34"/>
  <c r="H58" i="34"/>
  <c r="G58" i="34"/>
  <c r="F58" i="34"/>
  <c r="E58" i="34"/>
  <c r="D58" i="34"/>
  <c r="E47" i="34"/>
  <c r="D47" i="34"/>
  <c r="F35" i="34"/>
  <c r="E35" i="34"/>
  <c r="D35" i="34"/>
  <c r="G35" i="34" s="1"/>
  <c r="G34" i="34"/>
  <c r="G33" i="34"/>
  <c r="G32" i="34"/>
  <c r="G31" i="34"/>
  <c r="G30" i="34"/>
  <c r="G29" i="34"/>
  <c r="G28" i="34"/>
  <c r="O24" i="34"/>
  <c r="N24" i="34"/>
  <c r="M24" i="34"/>
  <c r="L24" i="34"/>
  <c r="K24" i="34"/>
  <c r="J24" i="34"/>
  <c r="I24" i="34"/>
  <c r="H24" i="34"/>
  <c r="F24" i="34"/>
  <c r="E24" i="34"/>
  <c r="D24" i="34"/>
  <c r="G24" i="34" s="1"/>
  <c r="G23" i="34"/>
  <c r="G22" i="34"/>
  <c r="G21" i="34"/>
  <c r="G20" i="34"/>
  <c r="G19" i="34"/>
  <c r="G18" i="34"/>
  <c r="G17" i="34"/>
  <c r="I219" i="32" l="1"/>
  <c r="H219" i="32"/>
  <c r="G219" i="32"/>
  <c r="F219" i="32"/>
  <c r="E219" i="32"/>
  <c r="D219" i="32"/>
  <c r="L209" i="32"/>
  <c r="K209" i="32"/>
  <c r="J209" i="32"/>
  <c r="I209" i="32"/>
  <c r="H209" i="32"/>
  <c r="G209" i="32"/>
  <c r="F209" i="32"/>
  <c r="E209" i="32"/>
  <c r="D209" i="32"/>
  <c r="L196" i="32"/>
  <c r="K196" i="32"/>
  <c r="J196" i="32"/>
  <c r="I196" i="32"/>
  <c r="H196" i="32"/>
  <c r="F196" i="32"/>
  <c r="E196" i="32"/>
  <c r="D196" i="32"/>
  <c r="G195" i="32"/>
  <c r="G194" i="32"/>
  <c r="G193" i="32"/>
  <c r="G192" i="32"/>
  <c r="G191" i="32"/>
  <c r="G190" i="32"/>
  <c r="G189" i="32"/>
  <c r="G196" i="32" s="1"/>
  <c r="O185" i="32"/>
  <c r="N185" i="32"/>
  <c r="M185" i="32"/>
  <c r="L185" i="32"/>
  <c r="K185" i="32"/>
  <c r="J185" i="32"/>
  <c r="I185" i="32"/>
  <c r="H185" i="32"/>
  <c r="F185" i="32"/>
  <c r="E185" i="32"/>
  <c r="D185" i="32"/>
  <c r="G184" i="32"/>
  <c r="G183" i="32"/>
  <c r="G182" i="32"/>
  <c r="G181" i="32"/>
  <c r="G180" i="32"/>
  <c r="G185" i="32" s="1"/>
  <c r="G179" i="32"/>
  <c r="G178" i="32"/>
  <c r="I172" i="32"/>
  <c r="H172" i="32"/>
  <c r="G172" i="32"/>
  <c r="F172" i="32"/>
  <c r="E172" i="32"/>
  <c r="D172" i="32"/>
  <c r="K171" i="32"/>
  <c r="J171" i="32"/>
  <c r="K170" i="32"/>
  <c r="J170" i="32"/>
  <c r="K169" i="32"/>
  <c r="J169" i="32"/>
  <c r="K168" i="32"/>
  <c r="J168" i="32"/>
  <c r="K167" i="32"/>
  <c r="J167" i="32"/>
  <c r="K166" i="32"/>
  <c r="J166" i="32"/>
  <c r="K165" i="32"/>
  <c r="K172" i="32" s="1"/>
  <c r="J165" i="32"/>
  <c r="J172" i="32" s="1"/>
  <c r="J162" i="32"/>
  <c r="I162" i="32"/>
  <c r="H162" i="32"/>
  <c r="F162" i="32"/>
  <c r="E162" i="32"/>
  <c r="D162" i="32"/>
  <c r="G161" i="32"/>
  <c r="G160" i="32"/>
  <c r="G159" i="32"/>
  <c r="G158" i="32"/>
  <c r="G157" i="32"/>
  <c r="G162" i="32" s="1"/>
  <c r="G156" i="32"/>
  <c r="G155" i="32"/>
  <c r="N151" i="32"/>
  <c r="M151" i="32"/>
  <c r="L151" i="32"/>
  <c r="K151" i="32"/>
  <c r="J151" i="32"/>
  <c r="H151" i="32"/>
  <c r="G151" i="32"/>
  <c r="F151" i="32"/>
  <c r="E151" i="32"/>
  <c r="D151" i="32"/>
  <c r="I150" i="32"/>
  <c r="I149" i="32"/>
  <c r="I148" i="32"/>
  <c r="I147" i="32"/>
  <c r="I146" i="32"/>
  <c r="I145" i="32"/>
  <c r="I144" i="32"/>
  <c r="I151" i="32" s="1"/>
  <c r="F137" i="32"/>
  <c r="E137" i="32"/>
  <c r="D137" i="32"/>
  <c r="G136" i="32"/>
  <c r="G135" i="32"/>
  <c r="G134" i="32"/>
  <c r="G133" i="32"/>
  <c r="G132" i="32"/>
  <c r="G131" i="32"/>
  <c r="G137" i="32" s="1"/>
  <c r="L127" i="32"/>
  <c r="K127" i="32"/>
  <c r="I127" i="32"/>
  <c r="H127" i="32"/>
  <c r="G127" i="32"/>
  <c r="F127" i="32"/>
  <c r="E127" i="32"/>
  <c r="D127" i="32"/>
  <c r="L116" i="32"/>
  <c r="K116" i="32"/>
  <c r="I116" i="32"/>
  <c r="H116" i="32"/>
  <c r="G116" i="32"/>
  <c r="F116" i="32"/>
  <c r="E116" i="32"/>
  <c r="D116" i="32"/>
  <c r="M105" i="32"/>
  <c r="L105" i="32"/>
  <c r="K105" i="32"/>
  <c r="J105" i="32"/>
  <c r="I105" i="32"/>
  <c r="H105" i="32"/>
  <c r="G105" i="32"/>
  <c r="F105" i="32"/>
  <c r="E105" i="32"/>
  <c r="D105" i="32"/>
  <c r="K92" i="32"/>
  <c r="J92" i="32"/>
  <c r="I92" i="32"/>
  <c r="H92" i="32"/>
  <c r="G92" i="32"/>
  <c r="F92" i="32"/>
  <c r="E92" i="32"/>
  <c r="D92" i="32"/>
  <c r="O79" i="32"/>
  <c r="N79" i="32"/>
  <c r="M79" i="32"/>
  <c r="L79" i="32"/>
  <c r="K79" i="32"/>
  <c r="J79" i="32"/>
  <c r="I79" i="32"/>
  <c r="F79" i="32"/>
  <c r="E79" i="32"/>
  <c r="D79" i="32"/>
  <c r="G78" i="32"/>
  <c r="G77" i="32"/>
  <c r="G76" i="32"/>
  <c r="G75" i="32"/>
  <c r="G74" i="32"/>
  <c r="G79" i="32" s="1"/>
  <c r="G73" i="32"/>
  <c r="G72" i="32"/>
  <c r="L69" i="32"/>
  <c r="K69" i="32"/>
  <c r="I69" i="32"/>
  <c r="H69" i="32"/>
  <c r="G69" i="32"/>
  <c r="F69" i="32"/>
  <c r="E69" i="32"/>
  <c r="D69" i="32"/>
  <c r="K58" i="32"/>
  <c r="J58" i="32"/>
  <c r="I58" i="32"/>
  <c r="H58" i="32"/>
  <c r="G58" i="32"/>
  <c r="F58" i="32"/>
  <c r="E58" i="32"/>
  <c r="D58" i="32"/>
  <c r="E47" i="32"/>
  <c r="D47" i="32"/>
  <c r="F35" i="32"/>
  <c r="E35" i="32"/>
  <c r="D35" i="32"/>
  <c r="G35" i="32" s="1"/>
  <c r="G34" i="32"/>
  <c r="G33" i="32"/>
  <c r="G32" i="32"/>
  <c r="G31" i="32"/>
  <c r="G30" i="32"/>
  <c r="G29" i="32"/>
  <c r="G28" i="32"/>
  <c r="O24" i="32"/>
  <c r="N24" i="32"/>
  <c r="M24" i="32"/>
  <c r="L24" i="32"/>
  <c r="K24" i="32"/>
  <c r="J24" i="32"/>
  <c r="I24" i="32"/>
  <c r="H24" i="32"/>
  <c r="G24" i="32"/>
  <c r="F24" i="32"/>
  <c r="E24" i="32"/>
  <c r="D24" i="32"/>
  <c r="G23" i="32"/>
  <c r="G22" i="32"/>
  <c r="G21" i="32"/>
  <c r="G20" i="32"/>
  <c r="G19" i="32"/>
  <c r="G18" i="32"/>
  <c r="G17" i="32"/>
  <c r="E220" i="31" l="1"/>
  <c r="I219" i="31"/>
  <c r="H219" i="31"/>
  <c r="G219" i="31"/>
  <c r="F219" i="31"/>
  <c r="D219" i="31"/>
  <c r="D213" i="31"/>
  <c r="J213" i="31" s="1"/>
  <c r="L213" i="31" s="1"/>
  <c r="L196" i="31"/>
  <c r="K196" i="31"/>
  <c r="J196" i="31"/>
  <c r="I196" i="31"/>
  <c r="H196" i="31"/>
  <c r="F196" i="31"/>
  <c r="E196" i="31"/>
  <c r="D196" i="31"/>
  <c r="G192" i="31"/>
  <c r="G196" i="31" s="1"/>
  <c r="O185" i="31"/>
  <c r="N185" i="31"/>
  <c r="M185" i="31"/>
  <c r="L185" i="31"/>
  <c r="K185" i="31"/>
  <c r="J185" i="31"/>
  <c r="I185" i="31"/>
  <c r="H185" i="31"/>
  <c r="F185" i="31"/>
  <c r="E185" i="31"/>
  <c r="D185" i="31"/>
  <c r="G181" i="31"/>
  <c r="G180" i="31"/>
  <c r="G185" i="31" s="1"/>
  <c r="L69" i="31"/>
  <c r="K69" i="31"/>
  <c r="J69" i="31"/>
  <c r="I69" i="31"/>
  <c r="H69" i="31"/>
  <c r="G69" i="31"/>
  <c r="F69" i="31"/>
  <c r="E69" i="31"/>
  <c r="D69" i="31"/>
  <c r="E47" i="31"/>
  <c r="D47" i="31"/>
  <c r="G35" i="31"/>
  <c r="F35" i="31"/>
  <c r="E35" i="31"/>
  <c r="D35" i="31"/>
  <c r="O24" i="31"/>
  <c r="N24" i="31"/>
  <c r="M24" i="31"/>
  <c r="L24" i="31"/>
  <c r="K24" i="31"/>
  <c r="J24" i="31"/>
  <c r="I24" i="31"/>
  <c r="H24" i="31"/>
  <c r="F24" i="31"/>
  <c r="E24" i="31"/>
  <c r="D24" i="31"/>
  <c r="G20" i="31"/>
  <c r="G24" i="31" s="1"/>
  <c r="I219" i="30" l="1"/>
  <c r="H219" i="30"/>
  <c r="G219" i="30"/>
  <c r="F219" i="30"/>
  <c r="E219" i="30"/>
  <c r="D219" i="30"/>
  <c r="J219" i="30" s="1"/>
  <c r="J213" i="30"/>
  <c r="E213" i="30"/>
  <c r="L209" i="30"/>
  <c r="K209" i="30"/>
  <c r="J209" i="30"/>
  <c r="I209" i="30"/>
  <c r="H209" i="30"/>
  <c r="G209" i="30"/>
  <c r="F209" i="30"/>
  <c r="E209" i="30"/>
  <c r="D209" i="30"/>
  <c r="N196" i="30"/>
  <c r="N197" i="30" s="1"/>
  <c r="L196" i="30"/>
  <c r="K196" i="30"/>
  <c r="J196" i="30"/>
  <c r="I196" i="30"/>
  <c r="H196" i="30"/>
  <c r="F196" i="30"/>
  <c r="E196" i="30"/>
  <c r="D196" i="30"/>
  <c r="G195" i="30"/>
  <c r="G194" i="30"/>
  <c r="G193" i="30"/>
  <c r="G192" i="30"/>
  <c r="G191" i="30"/>
  <c r="G190" i="30"/>
  <c r="G189" i="30"/>
  <c r="G196" i="30" s="1"/>
  <c r="O185" i="30"/>
  <c r="N185" i="30"/>
  <c r="M185" i="30"/>
  <c r="L185" i="30"/>
  <c r="K185" i="30"/>
  <c r="J185" i="30"/>
  <c r="I185" i="30"/>
  <c r="H185" i="30"/>
  <c r="F185" i="30"/>
  <c r="E185" i="30"/>
  <c r="D185" i="30"/>
  <c r="G184" i="30"/>
  <c r="G183" i="30"/>
  <c r="G182" i="30"/>
  <c r="G181" i="30"/>
  <c r="G180" i="30"/>
  <c r="G179" i="30"/>
  <c r="G178" i="30"/>
  <c r="G185" i="30" s="1"/>
  <c r="I172" i="30"/>
  <c r="H172" i="30"/>
  <c r="G172" i="30"/>
  <c r="F172" i="30"/>
  <c r="E172" i="30"/>
  <c r="D172" i="30"/>
  <c r="K171" i="30"/>
  <c r="J171" i="30"/>
  <c r="K170" i="30"/>
  <c r="J170" i="30"/>
  <c r="K169" i="30"/>
  <c r="J169" i="30"/>
  <c r="K168" i="30"/>
  <c r="J168" i="30"/>
  <c r="K167" i="30"/>
  <c r="J167" i="30"/>
  <c r="K166" i="30"/>
  <c r="J166" i="30"/>
  <c r="K165" i="30"/>
  <c r="K172" i="30" s="1"/>
  <c r="J165" i="30"/>
  <c r="J172" i="30" s="1"/>
  <c r="J162" i="30"/>
  <c r="I162" i="30"/>
  <c r="H162" i="30"/>
  <c r="F162" i="30"/>
  <c r="E162" i="30"/>
  <c r="D162" i="30"/>
  <c r="G161" i="30"/>
  <c r="G160" i="30"/>
  <c r="G159" i="30"/>
  <c r="G158" i="30"/>
  <c r="G157" i="30"/>
  <c r="G156" i="30"/>
  <c r="G155" i="30"/>
  <c r="G162" i="30" s="1"/>
  <c r="N151" i="30"/>
  <c r="M151" i="30"/>
  <c r="L151" i="30"/>
  <c r="K151" i="30"/>
  <c r="J151" i="30"/>
  <c r="H151" i="30"/>
  <c r="G151" i="30"/>
  <c r="F151" i="30"/>
  <c r="E151" i="30"/>
  <c r="D151" i="30"/>
  <c r="I150" i="30"/>
  <c r="I149" i="30"/>
  <c r="I148" i="30"/>
  <c r="I147" i="30"/>
  <c r="I146" i="30"/>
  <c r="I145" i="30"/>
  <c r="I144" i="30"/>
  <c r="I151" i="30" s="1"/>
  <c r="F137" i="30"/>
  <c r="E137" i="30"/>
  <c r="D137" i="30"/>
  <c r="G136" i="30"/>
  <c r="G135" i="30"/>
  <c r="G134" i="30"/>
  <c r="G133" i="30"/>
  <c r="G132" i="30"/>
  <c r="G131" i="30"/>
  <c r="G137" i="30" s="1"/>
  <c r="L127" i="30"/>
  <c r="K127" i="30"/>
  <c r="I127" i="30"/>
  <c r="H127" i="30"/>
  <c r="G127" i="30"/>
  <c r="F127" i="30"/>
  <c r="E127" i="30"/>
  <c r="D127" i="30"/>
  <c r="L116" i="30"/>
  <c r="K116" i="30"/>
  <c r="I116" i="30"/>
  <c r="H116" i="30"/>
  <c r="G116" i="30"/>
  <c r="F116" i="30"/>
  <c r="E116" i="30"/>
  <c r="D116" i="30"/>
  <c r="M105" i="30"/>
  <c r="L105" i="30"/>
  <c r="K105" i="30"/>
  <c r="J105" i="30"/>
  <c r="I105" i="30"/>
  <c r="H105" i="30"/>
  <c r="G105" i="30"/>
  <c r="F105" i="30"/>
  <c r="E105" i="30"/>
  <c r="D105" i="30"/>
  <c r="K92" i="30"/>
  <c r="J92" i="30"/>
  <c r="I92" i="30"/>
  <c r="H92" i="30"/>
  <c r="G92" i="30"/>
  <c r="F92" i="30"/>
  <c r="E92" i="30"/>
  <c r="D92" i="30"/>
  <c r="O79" i="30"/>
  <c r="N79" i="30"/>
  <c r="M79" i="30"/>
  <c r="L79" i="30"/>
  <c r="K79" i="30"/>
  <c r="J79" i="30"/>
  <c r="I79" i="30"/>
  <c r="F79" i="30"/>
  <c r="E79" i="30"/>
  <c r="D79" i="30"/>
  <c r="G78" i="30"/>
  <c r="G77" i="30"/>
  <c r="G76" i="30"/>
  <c r="G75" i="30"/>
  <c r="G74" i="30"/>
  <c r="G73" i="30"/>
  <c r="G72" i="30"/>
  <c r="G79" i="30" s="1"/>
  <c r="L69" i="30"/>
  <c r="K69" i="30"/>
  <c r="I69" i="30"/>
  <c r="H69" i="30"/>
  <c r="G69" i="30"/>
  <c r="F69" i="30"/>
  <c r="E69" i="30"/>
  <c r="D69" i="30"/>
  <c r="K58" i="30"/>
  <c r="J58" i="30"/>
  <c r="I58" i="30"/>
  <c r="H58" i="30"/>
  <c r="G58" i="30"/>
  <c r="F58" i="30"/>
  <c r="E58" i="30"/>
  <c r="D58" i="30"/>
  <c r="E47" i="30"/>
  <c r="D47" i="30"/>
  <c r="F35" i="30"/>
  <c r="E35" i="30"/>
  <c r="D35" i="30"/>
  <c r="G35" i="30" s="1"/>
  <c r="G34" i="30"/>
  <c r="G33" i="30"/>
  <c r="G32" i="30"/>
  <c r="G31" i="30"/>
  <c r="G30" i="30"/>
  <c r="G29" i="30"/>
  <c r="G28" i="30"/>
  <c r="O24" i="30"/>
  <c r="N24" i="30"/>
  <c r="M24" i="30"/>
  <c r="L24" i="30"/>
  <c r="K24" i="30"/>
  <c r="J24" i="30"/>
  <c r="I24" i="30"/>
  <c r="H24" i="30"/>
  <c r="F24" i="30"/>
  <c r="E24" i="30"/>
  <c r="D24" i="30"/>
  <c r="G24" i="30" s="1"/>
  <c r="G23" i="30"/>
  <c r="G22" i="30"/>
  <c r="G21" i="30"/>
  <c r="G20" i="30"/>
  <c r="G19" i="30"/>
  <c r="G18" i="30"/>
  <c r="G17" i="30"/>
  <c r="I219" i="29" l="1"/>
  <c r="H219" i="29"/>
  <c r="G219" i="29"/>
  <c r="F217" i="29"/>
  <c r="F218" i="29" s="1"/>
  <c r="F219" i="29" s="1"/>
  <c r="E217" i="29"/>
  <c r="E214" i="29" s="1"/>
  <c r="F214" i="29"/>
  <c r="D214" i="29"/>
  <c r="D218" i="29" s="1"/>
  <c r="F213" i="29"/>
  <c r="L209" i="29"/>
  <c r="K209" i="29"/>
  <c r="J209" i="29"/>
  <c r="I209" i="29"/>
  <c r="H209" i="29"/>
  <c r="G209" i="29"/>
  <c r="F209" i="29"/>
  <c r="E209" i="29"/>
  <c r="D209" i="29"/>
  <c r="K196" i="29"/>
  <c r="J196" i="29"/>
  <c r="I196" i="29"/>
  <c r="H196" i="29"/>
  <c r="F196" i="29"/>
  <c r="G195" i="29"/>
  <c r="G194" i="29"/>
  <c r="G193" i="29"/>
  <c r="J192" i="29"/>
  <c r="E192" i="29"/>
  <c r="E196" i="29" s="1"/>
  <c r="D192" i="29"/>
  <c r="G192" i="29" s="1"/>
  <c r="L192" i="29" s="1"/>
  <c r="L196" i="29" s="1"/>
  <c r="G191" i="29"/>
  <c r="G190" i="29"/>
  <c r="G189" i="29"/>
  <c r="O185" i="29"/>
  <c r="N185" i="29"/>
  <c r="M185" i="29"/>
  <c r="L185" i="29"/>
  <c r="K185" i="29"/>
  <c r="J185" i="29"/>
  <c r="I185" i="29"/>
  <c r="E185" i="29"/>
  <c r="G184" i="29"/>
  <c r="G183" i="29"/>
  <c r="G182" i="29"/>
  <c r="H181" i="29"/>
  <c r="H185" i="29" s="1"/>
  <c r="G181" i="29"/>
  <c r="F181" i="29"/>
  <c r="F180" i="29"/>
  <c r="F185" i="29" s="1"/>
  <c r="D180" i="29"/>
  <c r="G180" i="29" s="1"/>
  <c r="G185" i="29" s="1"/>
  <c r="G179" i="29"/>
  <c r="G178" i="29"/>
  <c r="I172" i="29"/>
  <c r="H172" i="29"/>
  <c r="G172" i="29"/>
  <c r="F172" i="29"/>
  <c r="E172" i="29"/>
  <c r="D172" i="29"/>
  <c r="K171" i="29"/>
  <c r="J171" i="29"/>
  <c r="K170" i="29"/>
  <c r="J170" i="29"/>
  <c r="K169" i="29"/>
  <c r="J169" i="29"/>
  <c r="K168" i="29"/>
  <c r="J168" i="29"/>
  <c r="K167" i="29"/>
  <c r="J167" i="29"/>
  <c r="K166" i="29"/>
  <c r="J166" i="29"/>
  <c r="K165" i="29"/>
  <c r="K172" i="29" s="1"/>
  <c r="J165" i="29"/>
  <c r="J172" i="29" s="1"/>
  <c r="J162" i="29"/>
  <c r="I162" i="29"/>
  <c r="H162" i="29"/>
  <c r="F162" i="29"/>
  <c r="E162" i="29"/>
  <c r="D162" i="29"/>
  <c r="G161" i="29"/>
  <c r="G160" i="29"/>
  <c r="G159" i="29"/>
  <c r="G158" i="29"/>
  <c r="G157" i="29"/>
  <c r="G162" i="29" s="1"/>
  <c r="G156" i="29"/>
  <c r="G155" i="29"/>
  <c r="N151" i="29"/>
  <c r="M151" i="29"/>
  <c r="L151" i="29"/>
  <c r="K151" i="29"/>
  <c r="J151" i="29"/>
  <c r="H151" i="29"/>
  <c r="G151" i="29"/>
  <c r="F151" i="29"/>
  <c r="E151" i="29"/>
  <c r="D151" i="29"/>
  <c r="I150" i="29"/>
  <c r="I149" i="29"/>
  <c r="I148" i="29"/>
  <c r="I147" i="29"/>
  <c r="I146" i="29"/>
  <c r="I145" i="29"/>
  <c r="I144" i="29"/>
  <c r="I151" i="29" s="1"/>
  <c r="F137" i="29"/>
  <c r="E137" i="29"/>
  <c r="D137" i="29"/>
  <c r="G136" i="29"/>
  <c r="G135" i="29"/>
  <c r="G134" i="29"/>
  <c r="G133" i="29"/>
  <c r="E133" i="29"/>
  <c r="G132" i="29"/>
  <c r="G131" i="29"/>
  <c r="G137" i="29" s="1"/>
  <c r="L127" i="29"/>
  <c r="K127" i="29"/>
  <c r="I127" i="29"/>
  <c r="H127" i="29"/>
  <c r="G127" i="29"/>
  <c r="F127" i="29"/>
  <c r="E127" i="29"/>
  <c r="D123" i="29"/>
  <c r="D127" i="29" s="1"/>
  <c r="K116" i="29"/>
  <c r="I116" i="29"/>
  <c r="H116" i="29"/>
  <c r="G116" i="29"/>
  <c r="F116" i="29"/>
  <c r="E116" i="29"/>
  <c r="D113" i="29"/>
  <c r="L113" i="29" s="1"/>
  <c r="D112" i="29"/>
  <c r="L112" i="29" s="1"/>
  <c r="L111" i="29"/>
  <c r="M105" i="29"/>
  <c r="L105" i="29"/>
  <c r="K105" i="29"/>
  <c r="J105" i="29"/>
  <c r="I105" i="29"/>
  <c r="H105" i="29"/>
  <c r="G105" i="29"/>
  <c r="F105" i="29"/>
  <c r="E105" i="29"/>
  <c r="D105" i="29"/>
  <c r="K92" i="29"/>
  <c r="J92" i="29"/>
  <c r="I92" i="29"/>
  <c r="H92" i="29"/>
  <c r="G92" i="29"/>
  <c r="F92" i="29"/>
  <c r="E92" i="29"/>
  <c r="D92" i="29"/>
  <c r="O79" i="29"/>
  <c r="N79" i="29"/>
  <c r="M79" i="29"/>
  <c r="L79" i="29"/>
  <c r="K79" i="29"/>
  <c r="J79" i="29"/>
  <c r="I79" i="29"/>
  <c r="F79" i="29"/>
  <c r="E79" i="29"/>
  <c r="D79" i="29"/>
  <c r="G78" i="29"/>
  <c r="G77" i="29"/>
  <c r="G76" i="29"/>
  <c r="G75" i="29"/>
  <c r="G74" i="29"/>
  <c r="G73" i="29"/>
  <c r="G79" i="29" s="1"/>
  <c r="G72" i="29"/>
  <c r="L69" i="29"/>
  <c r="K69" i="29"/>
  <c r="I69" i="29"/>
  <c r="H69" i="29"/>
  <c r="G69" i="29"/>
  <c r="F69" i="29"/>
  <c r="E69" i="29"/>
  <c r="E65" i="29"/>
  <c r="D65" i="29"/>
  <c r="D69" i="29" s="1"/>
  <c r="K58" i="29"/>
  <c r="J58" i="29"/>
  <c r="I58" i="29"/>
  <c r="H58" i="29"/>
  <c r="G58" i="29"/>
  <c r="F58" i="29"/>
  <c r="E58" i="29"/>
  <c r="D58" i="29"/>
  <c r="E47" i="29"/>
  <c r="D47" i="29"/>
  <c r="F35" i="29"/>
  <c r="E35" i="29"/>
  <c r="G34" i="29"/>
  <c r="G33" i="29"/>
  <c r="G32" i="29"/>
  <c r="D31" i="29"/>
  <c r="G31" i="29" s="1"/>
  <c r="D30" i="29"/>
  <c r="D35" i="29" s="1"/>
  <c r="G35" i="29" s="1"/>
  <c r="G29" i="29"/>
  <c r="G28" i="29"/>
  <c r="O24" i="29"/>
  <c r="N24" i="29"/>
  <c r="M24" i="29"/>
  <c r="L24" i="29"/>
  <c r="K24" i="29"/>
  <c r="J24" i="29"/>
  <c r="I24" i="29"/>
  <c r="F24" i="29"/>
  <c r="E24" i="29"/>
  <c r="G23" i="29"/>
  <c r="G22" i="29"/>
  <c r="G21" i="29"/>
  <c r="D20" i="29"/>
  <c r="H20" i="29" s="1"/>
  <c r="H24" i="29" s="1"/>
  <c r="D19" i="29"/>
  <c r="G19" i="29" s="1"/>
  <c r="G18" i="29"/>
  <c r="G17" i="29"/>
  <c r="G196" i="29" l="1"/>
  <c r="L116" i="29"/>
  <c r="E219" i="29"/>
  <c r="E213" i="29"/>
  <c r="K217" i="29"/>
  <c r="E218" i="29"/>
  <c r="D116" i="29"/>
  <c r="D196" i="29"/>
  <c r="G20" i="29"/>
  <c r="G30" i="29"/>
  <c r="D185" i="29"/>
  <c r="D24" i="29"/>
  <c r="G24" i="29" s="1"/>
  <c r="D213" i="29"/>
  <c r="D219" i="29"/>
  <c r="I219" i="28" l="1"/>
  <c r="H219" i="28"/>
  <c r="G219" i="28"/>
  <c r="F219" i="28"/>
  <c r="E219" i="28"/>
  <c r="D219" i="28"/>
  <c r="D213" i="28"/>
  <c r="J213" i="28" s="1"/>
  <c r="L209" i="28"/>
  <c r="K209" i="28"/>
  <c r="J209" i="28"/>
  <c r="I209" i="28"/>
  <c r="H209" i="28"/>
  <c r="G209" i="28"/>
  <c r="F209" i="28"/>
  <c r="E209" i="28"/>
  <c r="D209" i="28"/>
  <c r="L196" i="28"/>
  <c r="K196" i="28"/>
  <c r="J196" i="28"/>
  <c r="I196" i="28"/>
  <c r="H196" i="28"/>
  <c r="F196" i="28"/>
  <c r="E196" i="28"/>
  <c r="D196" i="28"/>
  <c r="G195" i="28"/>
  <c r="G194" i="28"/>
  <c r="G193" i="28"/>
  <c r="G192" i="28"/>
  <c r="G191" i="28"/>
  <c r="G190" i="28"/>
  <c r="G189" i="28"/>
  <c r="G196" i="28" s="1"/>
  <c r="O185" i="28"/>
  <c r="N185" i="28"/>
  <c r="M185" i="28"/>
  <c r="L185" i="28"/>
  <c r="K185" i="28"/>
  <c r="J185" i="28"/>
  <c r="I185" i="28"/>
  <c r="H185" i="28"/>
  <c r="F185" i="28"/>
  <c r="E185" i="28"/>
  <c r="D185" i="28"/>
  <c r="G184" i="28"/>
  <c r="G183" i="28"/>
  <c r="G182" i="28"/>
  <c r="G181" i="28"/>
  <c r="G180" i="28"/>
  <c r="G185" i="28" s="1"/>
  <c r="G179" i="28"/>
  <c r="G178" i="28"/>
  <c r="I172" i="28"/>
  <c r="H172" i="28"/>
  <c r="G172" i="28"/>
  <c r="F172" i="28"/>
  <c r="E172" i="28"/>
  <c r="D172" i="28"/>
  <c r="K171" i="28"/>
  <c r="J171" i="28"/>
  <c r="K170" i="28"/>
  <c r="J170" i="28"/>
  <c r="K169" i="28"/>
  <c r="J169" i="28"/>
  <c r="K168" i="28"/>
  <c r="J168" i="28"/>
  <c r="K167" i="28"/>
  <c r="J167" i="28"/>
  <c r="K166" i="28"/>
  <c r="J166" i="28"/>
  <c r="K165" i="28"/>
  <c r="K172" i="28" s="1"/>
  <c r="J165" i="28"/>
  <c r="J172" i="28" s="1"/>
  <c r="J162" i="28"/>
  <c r="I162" i="28"/>
  <c r="H162" i="28"/>
  <c r="F162" i="28"/>
  <c r="E162" i="28"/>
  <c r="D162" i="28"/>
  <c r="G161" i="28"/>
  <c r="G160" i="28"/>
  <c r="G159" i="28"/>
  <c r="G158" i="28"/>
  <c r="G157" i="28"/>
  <c r="G162" i="28" s="1"/>
  <c r="G156" i="28"/>
  <c r="G155" i="28"/>
  <c r="N151" i="28"/>
  <c r="M151" i="28"/>
  <c r="L151" i="28"/>
  <c r="K151" i="28"/>
  <c r="J151" i="28"/>
  <c r="H151" i="28"/>
  <c r="G151" i="28"/>
  <c r="F151" i="28"/>
  <c r="E151" i="28"/>
  <c r="D151" i="28"/>
  <c r="I150" i="28"/>
  <c r="I149" i="28"/>
  <c r="I148" i="28"/>
  <c r="I147" i="28"/>
  <c r="I146" i="28"/>
  <c r="I145" i="28"/>
  <c r="I144" i="28"/>
  <c r="I151" i="28" s="1"/>
  <c r="F137" i="28"/>
  <c r="E137" i="28"/>
  <c r="D137" i="28"/>
  <c r="G136" i="28"/>
  <c r="G135" i="28"/>
  <c r="G134" i="28"/>
  <c r="G133" i="28"/>
  <c r="G132" i="28"/>
  <c r="G131" i="28"/>
  <c r="G137" i="28" s="1"/>
  <c r="L127" i="28"/>
  <c r="K127" i="28"/>
  <c r="I127" i="28"/>
  <c r="H127" i="28"/>
  <c r="G127" i="28"/>
  <c r="F127" i="28"/>
  <c r="E127" i="28"/>
  <c r="D127" i="28"/>
  <c r="L116" i="28"/>
  <c r="K116" i="28"/>
  <c r="I116" i="28"/>
  <c r="H116" i="28"/>
  <c r="G116" i="28"/>
  <c r="F116" i="28"/>
  <c r="E116" i="28"/>
  <c r="D116" i="28"/>
  <c r="M105" i="28"/>
  <c r="L105" i="28"/>
  <c r="K105" i="28"/>
  <c r="J105" i="28"/>
  <c r="I105" i="28"/>
  <c r="H105" i="28"/>
  <c r="G105" i="28"/>
  <c r="F105" i="28"/>
  <c r="E105" i="28"/>
  <c r="D105" i="28"/>
  <c r="K92" i="28"/>
  <c r="J92" i="28"/>
  <c r="I92" i="28"/>
  <c r="H92" i="28"/>
  <c r="G92" i="28"/>
  <c r="F92" i="28"/>
  <c r="E92" i="28"/>
  <c r="D92" i="28"/>
  <c r="O79" i="28"/>
  <c r="N79" i="28"/>
  <c r="M79" i="28"/>
  <c r="L79" i="28"/>
  <c r="K79" i="28"/>
  <c r="J79" i="28"/>
  <c r="I79" i="28"/>
  <c r="F79" i="28"/>
  <c r="E79" i="28"/>
  <c r="D79" i="28"/>
  <c r="G78" i="28"/>
  <c r="G77" i="28"/>
  <c r="G76" i="28"/>
  <c r="G75" i="28"/>
  <c r="G74" i="28"/>
  <c r="G79" i="28" s="1"/>
  <c r="G73" i="28"/>
  <c r="G72" i="28"/>
  <c r="L69" i="28"/>
  <c r="K69" i="28"/>
  <c r="I69" i="28"/>
  <c r="H69" i="28"/>
  <c r="G69" i="28"/>
  <c r="F69" i="28"/>
  <c r="E69" i="28"/>
  <c r="D69" i="28"/>
  <c r="K58" i="28"/>
  <c r="J58" i="28"/>
  <c r="I58" i="28"/>
  <c r="H58" i="28"/>
  <c r="G58" i="28"/>
  <c r="F58" i="28"/>
  <c r="E58" i="28"/>
  <c r="D58" i="28"/>
  <c r="E47" i="28"/>
  <c r="D47" i="28"/>
  <c r="F35" i="28"/>
  <c r="E35" i="28"/>
  <c r="D35" i="28"/>
  <c r="G35" i="28" s="1"/>
  <c r="G34" i="28"/>
  <c r="G33" i="28"/>
  <c r="G32" i="28"/>
  <c r="G31" i="28"/>
  <c r="G30" i="28"/>
  <c r="G28" i="28"/>
  <c r="O24" i="28"/>
  <c r="N24" i="28"/>
  <c r="M24" i="28"/>
  <c r="L24" i="28"/>
  <c r="K24" i="28"/>
  <c r="J24" i="28"/>
  <c r="I24" i="28"/>
  <c r="H24" i="28"/>
  <c r="F24" i="28"/>
  <c r="G24" i="28" s="1"/>
  <c r="E24" i="28"/>
  <c r="D24" i="28"/>
  <c r="G23" i="28"/>
  <c r="G22" i="28"/>
  <c r="G21" i="28"/>
  <c r="G20" i="28"/>
  <c r="G19" i="28"/>
  <c r="G18" i="28"/>
  <c r="G17" i="28"/>
  <c r="I219" i="27" l="1"/>
  <c r="H219" i="27"/>
  <c r="G219" i="27"/>
  <c r="F219" i="27"/>
  <c r="E219" i="27"/>
  <c r="D219" i="27"/>
  <c r="F213" i="27"/>
  <c r="E213" i="27"/>
  <c r="D213" i="27"/>
  <c r="L209" i="27"/>
  <c r="K209" i="27"/>
  <c r="J209" i="27"/>
  <c r="I209" i="27"/>
  <c r="H209" i="27"/>
  <c r="G209" i="27"/>
  <c r="F209" i="27"/>
  <c r="E209" i="27"/>
  <c r="D209" i="27"/>
  <c r="L196" i="27"/>
  <c r="K196" i="27"/>
  <c r="J196" i="27"/>
  <c r="I196" i="27"/>
  <c r="H196" i="27"/>
  <c r="E196" i="27"/>
  <c r="D196" i="27"/>
  <c r="G195" i="27"/>
  <c r="G194" i="27"/>
  <c r="G193" i="27"/>
  <c r="G192" i="27"/>
  <c r="F191" i="27"/>
  <c r="G191" i="27" s="1"/>
  <c r="G190" i="27"/>
  <c r="G189" i="27"/>
  <c r="O185" i="27"/>
  <c r="N185" i="27"/>
  <c r="M185" i="27"/>
  <c r="L185" i="27"/>
  <c r="K185" i="27"/>
  <c r="J185" i="27"/>
  <c r="I185" i="27"/>
  <c r="H185" i="27"/>
  <c r="F185" i="27"/>
  <c r="E185" i="27"/>
  <c r="D185" i="27"/>
  <c r="G184" i="27"/>
  <c r="G183" i="27"/>
  <c r="G182" i="27"/>
  <c r="G181" i="27"/>
  <c r="G180" i="27"/>
  <c r="G179" i="27"/>
  <c r="G178" i="27"/>
  <c r="G185" i="27" s="1"/>
  <c r="I172" i="27"/>
  <c r="H172" i="27"/>
  <c r="G172" i="27"/>
  <c r="F172" i="27"/>
  <c r="E172" i="27"/>
  <c r="D172" i="27"/>
  <c r="K171" i="27"/>
  <c r="J171" i="27"/>
  <c r="K170" i="27"/>
  <c r="J170" i="27"/>
  <c r="K169" i="27"/>
  <c r="J169" i="27"/>
  <c r="K168" i="27"/>
  <c r="J168" i="27"/>
  <c r="K167" i="27"/>
  <c r="J167" i="27"/>
  <c r="K166" i="27"/>
  <c r="J166" i="27"/>
  <c r="K165" i="27"/>
  <c r="K172" i="27" s="1"/>
  <c r="J165" i="27"/>
  <c r="J172" i="27" s="1"/>
  <c r="J162" i="27"/>
  <c r="I162" i="27"/>
  <c r="H162" i="27"/>
  <c r="F162" i="27"/>
  <c r="E162" i="27"/>
  <c r="D162" i="27"/>
  <c r="G161" i="27"/>
  <c r="G160" i="27"/>
  <c r="G159" i="27"/>
  <c r="G158" i="27"/>
  <c r="G157" i="27"/>
  <c r="G156" i="27"/>
  <c r="G155" i="27"/>
  <c r="G162" i="27" s="1"/>
  <c r="N151" i="27"/>
  <c r="M151" i="27"/>
  <c r="L151" i="27"/>
  <c r="K151" i="27"/>
  <c r="J151" i="27"/>
  <c r="H151" i="27"/>
  <c r="G151" i="27"/>
  <c r="F151" i="27"/>
  <c r="E151" i="27"/>
  <c r="D151" i="27"/>
  <c r="I150" i="27"/>
  <c r="I149" i="27"/>
  <c r="I148" i="27"/>
  <c r="I147" i="27"/>
  <c r="I146" i="27"/>
  <c r="I145" i="27"/>
  <c r="I144" i="27"/>
  <c r="I151" i="27" s="1"/>
  <c r="F137" i="27"/>
  <c r="E137" i="27"/>
  <c r="D137" i="27"/>
  <c r="G136" i="27"/>
  <c r="G135" i="27"/>
  <c r="G134" i="27"/>
  <c r="G133" i="27"/>
  <c r="G132" i="27"/>
  <c r="G131" i="27"/>
  <c r="G137" i="27" s="1"/>
  <c r="L127" i="27"/>
  <c r="K127" i="27"/>
  <c r="I127" i="27"/>
  <c r="H127" i="27"/>
  <c r="G127" i="27"/>
  <c r="F127" i="27"/>
  <c r="E127" i="27"/>
  <c r="D127" i="27"/>
  <c r="L116" i="27"/>
  <c r="K116" i="27"/>
  <c r="I116" i="27"/>
  <c r="H116" i="27"/>
  <c r="G116" i="27"/>
  <c r="F116" i="27"/>
  <c r="E116" i="27"/>
  <c r="D116" i="27"/>
  <c r="M105" i="27"/>
  <c r="L105" i="27"/>
  <c r="K105" i="27"/>
  <c r="J105" i="27"/>
  <c r="I105" i="27"/>
  <c r="H105" i="27"/>
  <c r="G105" i="27"/>
  <c r="F105" i="27"/>
  <c r="E105" i="27"/>
  <c r="D105" i="27"/>
  <c r="K92" i="27"/>
  <c r="J92" i="27"/>
  <c r="I92" i="27"/>
  <c r="H92" i="27"/>
  <c r="G92" i="27"/>
  <c r="F92" i="27"/>
  <c r="E92" i="27"/>
  <c r="D92" i="27"/>
  <c r="O79" i="27"/>
  <c r="N79" i="27"/>
  <c r="M79" i="27"/>
  <c r="L79" i="27"/>
  <c r="K79" i="27"/>
  <c r="J79" i="27"/>
  <c r="I79" i="27"/>
  <c r="H79" i="27"/>
  <c r="F79" i="27"/>
  <c r="E79" i="27"/>
  <c r="D79" i="27"/>
  <c r="G78" i="27"/>
  <c r="G77" i="27"/>
  <c r="G76" i="27"/>
  <c r="G75" i="27"/>
  <c r="G74" i="27"/>
  <c r="G73" i="27"/>
  <c r="G72" i="27"/>
  <c r="G79" i="27" s="1"/>
  <c r="L69" i="27"/>
  <c r="K69" i="27"/>
  <c r="I69" i="27"/>
  <c r="H69" i="27"/>
  <c r="G69" i="27"/>
  <c r="F69" i="27"/>
  <c r="E69" i="27"/>
  <c r="D69" i="27"/>
  <c r="K58" i="27"/>
  <c r="J58" i="27"/>
  <c r="I58" i="27"/>
  <c r="H58" i="27"/>
  <c r="G58" i="27"/>
  <c r="F58" i="27"/>
  <c r="E58" i="27"/>
  <c r="D58" i="27"/>
  <c r="E47" i="27"/>
  <c r="D47" i="27"/>
  <c r="F35" i="27"/>
  <c r="G35" i="27" s="1"/>
  <c r="E35" i="27"/>
  <c r="D35" i="27"/>
  <c r="G34" i="27"/>
  <c r="G33" i="27"/>
  <c r="G32" i="27"/>
  <c r="G31" i="27"/>
  <c r="G30" i="27"/>
  <c r="G29" i="27"/>
  <c r="G28" i="27"/>
  <c r="O24" i="27"/>
  <c r="N24" i="27"/>
  <c r="M24" i="27"/>
  <c r="L24" i="27"/>
  <c r="K24" i="27"/>
  <c r="J24" i="27"/>
  <c r="I24" i="27"/>
  <c r="H24" i="27"/>
  <c r="F24" i="27"/>
  <c r="D24" i="27"/>
  <c r="G24" i="27" s="1"/>
  <c r="G23" i="27"/>
  <c r="G22" i="27"/>
  <c r="G21" i="27"/>
  <c r="G20" i="27"/>
  <c r="G19" i="27"/>
  <c r="G18" i="27"/>
  <c r="G17" i="27"/>
  <c r="G196" i="27" l="1"/>
  <c r="I219" i="26" l="1"/>
  <c r="H219" i="26"/>
  <c r="G219" i="26"/>
  <c r="F219" i="26"/>
  <c r="E219" i="26"/>
  <c r="D219" i="26"/>
  <c r="F218" i="26"/>
  <c r="L209" i="26"/>
  <c r="K209" i="26"/>
  <c r="J209" i="26"/>
  <c r="I209" i="26"/>
  <c r="H209" i="26"/>
  <c r="G209" i="26"/>
  <c r="F209" i="26"/>
  <c r="E209" i="26"/>
  <c r="D209" i="26"/>
  <c r="L196" i="26"/>
  <c r="K196" i="26"/>
  <c r="J196" i="26"/>
  <c r="I196" i="26"/>
  <c r="H196" i="26"/>
  <c r="F196" i="26"/>
  <c r="E196" i="26"/>
  <c r="D196" i="26"/>
  <c r="G195" i="26"/>
  <c r="G194" i="26"/>
  <c r="G193" i="26"/>
  <c r="G192" i="26"/>
  <c r="G191" i="26"/>
  <c r="G190" i="26"/>
  <c r="G189" i="26"/>
  <c r="G196" i="26" s="1"/>
  <c r="O185" i="26"/>
  <c r="N185" i="26"/>
  <c r="M185" i="26"/>
  <c r="L185" i="26"/>
  <c r="K185" i="26"/>
  <c r="J185" i="26"/>
  <c r="I185" i="26"/>
  <c r="H185" i="26"/>
  <c r="F185" i="26"/>
  <c r="E185" i="26"/>
  <c r="D185" i="26"/>
  <c r="G184" i="26"/>
  <c r="G183" i="26"/>
  <c r="G182" i="26"/>
  <c r="G181" i="26"/>
  <c r="G180" i="26"/>
  <c r="G179" i="26"/>
  <c r="G178" i="26"/>
  <c r="G185" i="26" s="1"/>
  <c r="I172" i="26"/>
  <c r="H172" i="26"/>
  <c r="G172" i="26"/>
  <c r="F172" i="26"/>
  <c r="E172" i="26"/>
  <c r="D172" i="26"/>
  <c r="K171" i="26"/>
  <c r="J171" i="26"/>
  <c r="K170" i="26"/>
  <c r="J170" i="26"/>
  <c r="K169" i="26"/>
  <c r="J169" i="26"/>
  <c r="K168" i="26"/>
  <c r="J168" i="26"/>
  <c r="K167" i="26"/>
  <c r="J167" i="26"/>
  <c r="K166" i="26"/>
  <c r="J166" i="26"/>
  <c r="K165" i="26"/>
  <c r="K172" i="26" s="1"/>
  <c r="J165" i="26"/>
  <c r="J172" i="26" s="1"/>
  <c r="J162" i="26"/>
  <c r="I162" i="26"/>
  <c r="H162" i="26"/>
  <c r="F162" i="26"/>
  <c r="E162" i="26"/>
  <c r="D162" i="26"/>
  <c r="G161" i="26"/>
  <c r="G160" i="26"/>
  <c r="G159" i="26"/>
  <c r="G158" i="26"/>
  <c r="G157" i="26"/>
  <c r="G156" i="26"/>
  <c r="G155" i="26"/>
  <c r="G162" i="26" s="1"/>
  <c r="N151" i="26"/>
  <c r="M151" i="26"/>
  <c r="L151" i="26"/>
  <c r="K151" i="26"/>
  <c r="J151" i="26"/>
  <c r="H151" i="26"/>
  <c r="G151" i="26"/>
  <c r="F151" i="26"/>
  <c r="E151" i="26"/>
  <c r="D151" i="26"/>
  <c r="I150" i="26"/>
  <c r="I149" i="26"/>
  <c r="I148" i="26"/>
  <c r="I147" i="26"/>
  <c r="I146" i="26"/>
  <c r="I145" i="26"/>
  <c r="I144" i="26"/>
  <c r="I151" i="26" s="1"/>
  <c r="F137" i="26"/>
  <c r="E137" i="26"/>
  <c r="D137" i="26"/>
  <c r="G136" i="26"/>
  <c r="G135" i="26"/>
  <c r="G134" i="26"/>
  <c r="G133" i="26"/>
  <c r="G132" i="26"/>
  <c r="G131" i="26"/>
  <c r="G137" i="26" s="1"/>
  <c r="L127" i="26"/>
  <c r="K127" i="26"/>
  <c r="I127" i="26"/>
  <c r="H127" i="26"/>
  <c r="G127" i="26"/>
  <c r="F127" i="26"/>
  <c r="E127" i="26"/>
  <c r="D127" i="26"/>
  <c r="L116" i="26"/>
  <c r="K116" i="26"/>
  <c r="I116" i="26"/>
  <c r="H116" i="26"/>
  <c r="G116" i="26"/>
  <c r="F116" i="26"/>
  <c r="E116" i="26"/>
  <c r="D116" i="26"/>
  <c r="M105" i="26"/>
  <c r="L105" i="26"/>
  <c r="K105" i="26"/>
  <c r="J105" i="26"/>
  <c r="I105" i="26"/>
  <c r="H105" i="26"/>
  <c r="G105" i="26"/>
  <c r="F105" i="26"/>
  <c r="E105" i="26"/>
  <c r="D105" i="26"/>
  <c r="K92" i="26"/>
  <c r="J92" i="26"/>
  <c r="I92" i="26"/>
  <c r="H92" i="26"/>
  <c r="G92" i="26"/>
  <c r="F92" i="26"/>
  <c r="E92" i="26"/>
  <c r="D92" i="26"/>
  <c r="O79" i="26"/>
  <c r="N79" i="26"/>
  <c r="M79" i="26"/>
  <c r="L79" i="26"/>
  <c r="K79" i="26"/>
  <c r="J79" i="26"/>
  <c r="I79" i="26"/>
  <c r="F79" i="26"/>
  <c r="E79" i="26"/>
  <c r="D79" i="26"/>
  <c r="G78" i="26"/>
  <c r="G77" i="26"/>
  <c r="G76" i="26"/>
  <c r="G75" i="26"/>
  <c r="G74" i="26"/>
  <c r="G73" i="26"/>
  <c r="G72" i="26"/>
  <c r="G79" i="26" s="1"/>
  <c r="L69" i="26"/>
  <c r="K69" i="26"/>
  <c r="I69" i="26"/>
  <c r="H69" i="26"/>
  <c r="G69" i="26"/>
  <c r="F69" i="26"/>
  <c r="E69" i="26"/>
  <c r="D69" i="26"/>
  <c r="K58" i="26"/>
  <c r="J58" i="26"/>
  <c r="I58" i="26"/>
  <c r="H58" i="26"/>
  <c r="G58" i="26"/>
  <c r="F58" i="26"/>
  <c r="E58" i="26"/>
  <c r="D58" i="26"/>
  <c r="E47" i="26"/>
  <c r="D47" i="26"/>
  <c r="F35" i="26"/>
  <c r="E35" i="26"/>
  <c r="D35" i="26"/>
  <c r="G35" i="26" s="1"/>
  <c r="G34" i="26"/>
  <c r="G33" i="26"/>
  <c r="G32" i="26"/>
  <c r="G31" i="26"/>
  <c r="G30" i="26"/>
  <c r="G29" i="26"/>
  <c r="G28" i="26"/>
  <c r="O24" i="26"/>
  <c r="N24" i="26"/>
  <c r="M24" i="26"/>
  <c r="L24" i="26"/>
  <c r="K24" i="26"/>
  <c r="J24" i="26"/>
  <c r="I24" i="26"/>
  <c r="H24" i="26"/>
  <c r="F24" i="26"/>
  <c r="E24" i="26"/>
  <c r="D24" i="26"/>
  <c r="G24" i="26" s="1"/>
  <c r="G23" i="26"/>
  <c r="G22" i="26"/>
  <c r="G21" i="26"/>
  <c r="G20" i="26"/>
  <c r="G19" i="26"/>
  <c r="G18" i="26"/>
  <c r="G17" i="26"/>
  <c r="I219" i="25" l="1"/>
  <c r="H219" i="25"/>
  <c r="G219" i="25"/>
  <c r="F219" i="25"/>
  <c r="E219" i="25"/>
  <c r="D219" i="25"/>
  <c r="F213" i="25"/>
  <c r="E213" i="25"/>
  <c r="D213" i="25"/>
  <c r="L209" i="25"/>
  <c r="K209" i="25"/>
  <c r="J209" i="25"/>
  <c r="I209" i="25"/>
  <c r="H209" i="25"/>
  <c r="G209" i="25"/>
  <c r="F209" i="25"/>
  <c r="E209" i="25"/>
  <c r="D209" i="25"/>
  <c r="L196" i="25"/>
  <c r="K196" i="25"/>
  <c r="J196" i="25"/>
  <c r="I196" i="25"/>
  <c r="H196" i="25"/>
  <c r="F196" i="25"/>
  <c r="E196" i="25"/>
  <c r="D196" i="25"/>
  <c r="G195" i="25"/>
  <c r="G194" i="25"/>
  <c r="G193" i="25"/>
  <c r="G192" i="25"/>
  <c r="G191" i="25"/>
  <c r="G196" i="25" s="1"/>
  <c r="G190" i="25"/>
  <c r="G189" i="25"/>
  <c r="O185" i="25"/>
  <c r="N185" i="25"/>
  <c r="M185" i="25"/>
  <c r="L185" i="25"/>
  <c r="K185" i="25"/>
  <c r="J185" i="25"/>
  <c r="I185" i="25"/>
  <c r="H185" i="25"/>
  <c r="F185" i="25"/>
  <c r="E185" i="25"/>
  <c r="D185" i="25"/>
  <c r="G184" i="25"/>
  <c r="G183" i="25"/>
  <c r="G182" i="25"/>
  <c r="G181" i="25"/>
  <c r="G180" i="25"/>
  <c r="G179" i="25"/>
  <c r="G178" i="25"/>
  <c r="G185" i="25" s="1"/>
  <c r="I172" i="25"/>
  <c r="H172" i="25"/>
  <c r="G172" i="25"/>
  <c r="F172" i="25"/>
  <c r="E172" i="25"/>
  <c r="D172" i="25"/>
  <c r="K171" i="25"/>
  <c r="J171" i="25"/>
  <c r="K170" i="25"/>
  <c r="J170" i="25"/>
  <c r="K169" i="25"/>
  <c r="J169" i="25"/>
  <c r="K168" i="25"/>
  <c r="J168" i="25"/>
  <c r="K167" i="25"/>
  <c r="J167" i="25"/>
  <c r="K166" i="25"/>
  <c r="J166" i="25"/>
  <c r="K165" i="25"/>
  <c r="K172" i="25" s="1"/>
  <c r="J165" i="25"/>
  <c r="J172" i="25" s="1"/>
  <c r="J162" i="25"/>
  <c r="I162" i="25"/>
  <c r="H162" i="25"/>
  <c r="F162" i="25"/>
  <c r="E162" i="25"/>
  <c r="D162" i="25"/>
  <c r="G161" i="25"/>
  <c r="G160" i="25"/>
  <c r="G159" i="25"/>
  <c r="G158" i="25"/>
  <c r="G157" i="25"/>
  <c r="G156" i="25"/>
  <c r="G155" i="25"/>
  <c r="G162" i="25" s="1"/>
  <c r="N151" i="25"/>
  <c r="M151" i="25"/>
  <c r="L151" i="25"/>
  <c r="K151" i="25"/>
  <c r="J151" i="25"/>
  <c r="H151" i="25"/>
  <c r="G151" i="25"/>
  <c r="F151" i="25"/>
  <c r="E151" i="25"/>
  <c r="D151" i="25"/>
  <c r="I150" i="25"/>
  <c r="I149" i="25"/>
  <c r="I148" i="25"/>
  <c r="I147" i="25"/>
  <c r="I146" i="25"/>
  <c r="I145" i="25"/>
  <c r="I144" i="25"/>
  <c r="I151" i="25" s="1"/>
  <c r="F137" i="25"/>
  <c r="E137" i="25"/>
  <c r="D137" i="25"/>
  <c r="G136" i="25"/>
  <c r="G135" i="25"/>
  <c r="G134" i="25"/>
  <c r="G133" i="25"/>
  <c r="G132" i="25"/>
  <c r="G137" i="25" s="1"/>
  <c r="G131" i="25"/>
  <c r="L127" i="25"/>
  <c r="K127" i="25"/>
  <c r="I127" i="25"/>
  <c r="H127" i="25"/>
  <c r="G127" i="25"/>
  <c r="F127" i="25"/>
  <c r="E127" i="25"/>
  <c r="D127" i="25"/>
  <c r="L116" i="25"/>
  <c r="K116" i="25"/>
  <c r="I116" i="25"/>
  <c r="H116" i="25"/>
  <c r="G116" i="25"/>
  <c r="F116" i="25"/>
  <c r="E116" i="25"/>
  <c r="D116" i="25"/>
  <c r="M105" i="25"/>
  <c r="L105" i="25"/>
  <c r="K105" i="25"/>
  <c r="J105" i="25"/>
  <c r="I105" i="25"/>
  <c r="H105" i="25"/>
  <c r="G105" i="25"/>
  <c r="F105" i="25"/>
  <c r="E105" i="25"/>
  <c r="D105" i="25"/>
  <c r="K92" i="25"/>
  <c r="J92" i="25"/>
  <c r="I92" i="25"/>
  <c r="H92" i="25"/>
  <c r="G92" i="25"/>
  <c r="F92" i="25"/>
  <c r="E92" i="25"/>
  <c r="D92" i="25"/>
  <c r="O79" i="25"/>
  <c r="N79" i="25"/>
  <c r="M79" i="25"/>
  <c r="L79" i="25"/>
  <c r="K79" i="25"/>
  <c r="J79" i="25"/>
  <c r="I79" i="25"/>
  <c r="F79" i="25"/>
  <c r="E79" i="25"/>
  <c r="D79" i="25"/>
  <c r="G78" i="25"/>
  <c r="G77" i="25"/>
  <c r="G76" i="25"/>
  <c r="G75" i="25"/>
  <c r="G74" i="25"/>
  <c r="G73" i="25"/>
  <c r="G72" i="25"/>
  <c r="G79" i="25" s="1"/>
  <c r="L69" i="25"/>
  <c r="K69" i="25"/>
  <c r="I69" i="25"/>
  <c r="H69" i="25"/>
  <c r="G69" i="25"/>
  <c r="F69" i="25"/>
  <c r="E69" i="25"/>
  <c r="D69" i="25"/>
  <c r="K58" i="25"/>
  <c r="J58" i="25"/>
  <c r="I58" i="25"/>
  <c r="H58" i="25"/>
  <c r="G58" i="25"/>
  <c r="F58" i="25"/>
  <c r="E58" i="25"/>
  <c r="D58" i="25"/>
  <c r="E47" i="25"/>
  <c r="D47" i="25"/>
  <c r="G35" i="25"/>
  <c r="F35" i="25"/>
  <c r="E35" i="25"/>
  <c r="D35" i="25"/>
  <c r="G34" i="25"/>
  <c r="G33" i="25"/>
  <c r="G32" i="25"/>
  <c r="G31" i="25"/>
  <c r="G30" i="25"/>
  <c r="G29" i="25"/>
  <c r="G28" i="25"/>
  <c r="O24" i="25"/>
  <c r="N24" i="25"/>
  <c r="M24" i="25"/>
  <c r="L24" i="25"/>
  <c r="K24" i="25"/>
  <c r="J24" i="25"/>
  <c r="I24" i="25"/>
  <c r="H24" i="25"/>
  <c r="F24" i="25"/>
  <c r="E24" i="25"/>
  <c r="D24" i="25"/>
  <c r="G24" i="25" s="1"/>
  <c r="G23" i="25"/>
  <c r="G22" i="25"/>
  <c r="G21" i="25"/>
  <c r="G20" i="25"/>
  <c r="G19" i="25"/>
  <c r="G18" i="25"/>
  <c r="G17" i="25"/>
  <c r="I219" i="24" l="1"/>
  <c r="H219" i="24"/>
  <c r="G219" i="24"/>
  <c r="F219" i="24"/>
  <c r="E219" i="24"/>
  <c r="D219" i="24"/>
  <c r="F213" i="24"/>
  <c r="E213" i="24"/>
  <c r="D213" i="24"/>
  <c r="L209" i="24"/>
  <c r="K209" i="24"/>
  <c r="J209" i="24"/>
  <c r="I209" i="24"/>
  <c r="H209" i="24"/>
  <c r="G209" i="24"/>
  <c r="F209" i="24"/>
  <c r="E209" i="24"/>
  <c r="D209" i="24"/>
  <c r="L196" i="24"/>
  <c r="K196" i="24"/>
  <c r="J196" i="24"/>
  <c r="I196" i="24"/>
  <c r="H196" i="24"/>
  <c r="F196" i="24"/>
  <c r="E196" i="24"/>
  <c r="D196" i="24"/>
  <c r="G195" i="24"/>
  <c r="G194" i="24"/>
  <c r="G193" i="24"/>
  <c r="G192" i="24"/>
  <c r="G191" i="24"/>
  <c r="G196" i="24" s="1"/>
  <c r="G190" i="24"/>
  <c r="G189" i="24"/>
  <c r="O185" i="24"/>
  <c r="N185" i="24"/>
  <c r="M185" i="24"/>
  <c r="L185" i="24"/>
  <c r="K185" i="24"/>
  <c r="J185" i="24"/>
  <c r="I185" i="24"/>
  <c r="H185" i="24"/>
  <c r="F185" i="24"/>
  <c r="E185" i="24"/>
  <c r="D185" i="24"/>
  <c r="G184" i="24"/>
  <c r="G183" i="24"/>
  <c r="G182" i="24"/>
  <c r="G181" i="24"/>
  <c r="G180" i="24"/>
  <c r="G179" i="24"/>
  <c r="G185" i="24" s="1"/>
  <c r="G178" i="24"/>
  <c r="I172" i="24"/>
  <c r="H172" i="24"/>
  <c r="G172" i="24"/>
  <c r="F172" i="24"/>
  <c r="E172" i="24"/>
  <c r="D172" i="24"/>
  <c r="K171" i="24"/>
  <c r="J171" i="24"/>
  <c r="K170" i="24"/>
  <c r="J170" i="24"/>
  <c r="K169" i="24"/>
  <c r="J169" i="24"/>
  <c r="K168" i="24"/>
  <c r="J168" i="24"/>
  <c r="K167" i="24"/>
  <c r="J167" i="24"/>
  <c r="K166" i="24"/>
  <c r="J166" i="24"/>
  <c r="K165" i="24"/>
  <c r="K172" i="24" s="1"/>
  <c r="J165" i="24"/>
  <c r="J172" i="24" s="1"/>
  <c r="J162" i="24"/>
  <c r="I162" i="24"/>
  <c r="H162" i="24"/>
  <c r="F162" i="24"/>
  <c r="E162" i="24"/>
  <c r="D162" i="24"/>
  <c r="G161" i="24"/>
  <c r="G160" i="24"/>
  <c r="G159" i="24"/>
  <c r="G158" i="24"/>
  <c r="G157" i="24"/>
  <c r="G156" i="24"/>
  <c r="G162" i="24" s="1"/>
  <c r="G155" i="24"/>
  <c r="N151" i="24"/>
  <c r="M151" i="24"/>
  <c r="L151" i="24"/>
  <c r="K151" i="24"/>
  <c r="J151" i="24"/>
  <c r="H151" i="24"/>
  <c r="G151" i="24"/>
  <c r="F151" i="24"/>
  <c r="E151" i="24"/>
  <c r="D151" i="24"/>
  <c r="I150" i="24"/>
  <c r="I149" i="24"/>
  <c r="I148" i="24"/>
  <c r="I147" i="24"/>
  <c r="I146" i="24"/>
  <c r="I145" i="24"/>
  <c r="I144" i="24"/>
  <c r="I151" i="24" s="1"/>
  <c r="F137" i="24"/>
  <c r="E137" i="24"/>
  <c r="D137" i="24"/>
  <c r="G136" i="24"/>
  <c r="G135" i="24"/>
  <c r="G134" i="24"/>
  <c r="G133" i="24"/>
  <c r="G132" i="24"/>
  <c r="G137" i="24" s="1"/>
  <c r="G131" i="24"/>
  <c r="L127" i="24"/>
  <c r="K127" i="24"/>
  <c r="I127" i="24"/>
  <c r="H127" i="24"/>
  <c r="G127" i="24"/>
  <c r="F127" i="24"/>
  <c r="E127" i="24"/>
  <c r="D127" i="24"/>
  <c r="L116" i="24"/>
  <c r="K116" i="24"/>
  <c r="I116" i="24"/>
  <c r="H116" i="24"/>
  <c r="G116" i="24"/>
  <c r="F116" i="24"/>
  <c r="E116" i="24"/>
  <c r="D116" i="24"/>
  <c r="M105" i="24"/>
  <c r="L105" i="24"/>
  <c r="K105" i="24"/>
  <c r="J105" i="24"/>
  <c r="I105" i="24"/>
  <c r="H105" i="24"/>
  <c r="G105" i="24"/>
  <c r="F105" i="24"/>
  <c r="E105" i="24"/>
  <c r="D105" i="24"/>
  <c r="K92" i="24"/>
  <c r="J92" i="24"/>
  <c r="I92" i="24"/>
  <c r="H92" i="24"/>
  <c r="G92" i="24"/>
  <c r="F92" i="24"/>
  <c r="E92" i="24"/>
  <c r="D92" i="24"/>
  <c r="O79" i="24"/>
  <c r="N79" i="24"/>
  <c r="M79" i="24"/>
  <c r="L79" i="24"/>
  <c r="K79" i="24"/>
  <c r="J79" i="24"/>
  <c r="I79" i="24"/>
  <c r="F79" i="24"/>
  <c r="E79" i="24"/>
  <c r="D79" i="24"/>
  <c r="G78" i="24"/>
  <c r="G77" i="24"/>
  <c r="G76" i="24"/>
  <c r="G75" i="24"/>
  <c r="G74" i="24"/>
  <c r="G73" i="24"/>
  <c r="G79" i="24" s="1"/>
  <c r="G72" i="24"/>
  <c r="L69" i="24"/>
  <c r="K69" i="24"/>
  <c r="I69" i="24"/>
  <c r="H69" i="24"/>
  <c r="G69" i="24"/>
  <c r="F69" i="24"/>
  <c r="D65" i="24"/>
  <c r="D69" i="24" s="1"/>
  <c r="K58" i="24"/>
  <c r="J58" i="24"/>
  <c r="I58" i="24"/>
  <c r="H58" i="24"/>
  <c r="G58" i="24"/>
  <c r="F58" i="24"/>
  <c r="E58" i="24"/>
  <c r="D58" i="24"/>
  <c r="E47" i="24"/>
  <c r="D47" i="24"/>
  <c r="F35" i="24"/>
  <c r="E35" i="24"/>
  <c r="G35" i="24" s="1"/>
  <c r="D35" i="24"/>
  <c r="G34" i="24"/>
  <c r="G33" i="24"/>
  <c r="G32" i="24"/>
  <c r="G31" i="24"/>
  <c r="G30" i="24"/>
  <c r="G29" i="24"/>
  <c r="G28" i="24"/>
  <c r="O24" i="24"/>
  <c r="N24" i="24"/>
  <c r="M24" i="24"/>
  <c r="L24" i="24"/>
  <c r="K24" i="24"/>
  <c r="J24" i="24"/>
  <c r="I24" i="24"/>
  <c r="H24" i="24"/>
  <c r="F24" i="24"/>
  <c r="E24" i="24"/>
  <c r="D24" i="24"/>
  <c r="G24" i="24" s="1"/>
  <c r="G23" i="24"/>
  <c r="G22" i="24"/>
  <c r="G21" i="24"/>
  <c r="G20" i="24"/>
  <c r="G19" i="24"/>
  <c r="G17" i="24"/>
  <c r="E65" i="24" l="1"/>
  <c r="E69" i="24" s="1"/>
  <c r="I219" i="23" l="1"/>
  <c r="H219" i="23"/>
  <c r="G219" i="23"/>
  <c r="F219" i="23"/>
  <c r="E219" i="23"/>
  <c r="D219" i="23"/>
  <c r="F213" i="23"/>
  <c r="D213" i="23"/>
  <c r="L209" i="23"/>
  <c r="K209" i="23"/>
  <c r="J209" i="23"/>
  <c r="I209" i="23"/>
  <c r="H209" i="23"/>
  <c r="G209" i="23"/>
  <c r="F209" i="23"/>
  <c r="E209" i="23"/>
  <c r="D209" i="23"/>
  <c r="L196" i="23"/>
  <c r="K196" i="23"/>
  <c r="J196" i="23"/>
  <c r="I196" i="23"/>
  <c r="H196" i="23"/>
  <c r="F196" i="23"/>
  <c r="E196" i="23"/>
  <c r="D196" i="23"/>
  <c r="G195" i="23"/>
  <c r="G194" i="23"/>
  <c r="G193" i="23"/>
  <c r="G192" i="23"/>
  <c r="G191" i="23"/>
  <c r="G190" i="23"/>
  <c r="G189" i="23"/>
  <c r="G196" i="23" s="1"/>
  <c r="O185" i="23"/>
  <c r="N185" i="23"/>
  <c r="M185" i="23"/>
  <c r="L185" i="23"/>
  <c r="K185" i="23"/>
  <c r="J185" i="23"/>
  <c r="I185" i="23"/>
  <c r="H185" i="23"/>
  <c r="F185" i="23"/>
  <c r="E185" i="23"/>
  <c r="D185" i="23"/>
  <c r="G184" i="23"/>
  <c r="G183" i="23"/>
  <c r="G182" i="23"/>
  <c r="G181" i="23"/>
  <c r="G180" i="23"/>
  <c r="G179" i="23"/>
  <c r="G178" i="23"/>
  <c r="G185" i="23" s="1"/>
  <c r="I172" i="23"/>
  <c r="H172" i="23"/>
  <c r="G172" i="23"/>
  <c r="F172" i="23"/>
  <c r="E172" i="23"/>
  <c r="D172" i="23"/>
  <c r="K171" i="23"/>
  <c r="J171" i="23"/>
  <c r="K170" i="23"/>
  <c r="J170" i="23"/>
  <c r="K169" i="23"/>
  <c r="J169" i="23"/>
  <c r="K168" i="23"/>
  <c r="J168" i="23"/>
  <c r="K167" i="23"/>
  <c r="J167" i="23"/>
  <c r="K166" i="23"/>
  <c r="J166" i="23"/>
  <c r="K165" i="23"/>
  <c r="K172" i="23" s="1"/>
  <c r="J165" i="23"/>
  <c r="J172" i="23" s="1"/>
  <c r="J162" i="23"/>
  <c r="I162" i="23"/>
  <c r="H162" i="23"/>
  <c r="F162" i="23"/>
  <c r="E162" i="23"/>
  <c r="D162" i="23"/>
  <c r="G161" i="23"/>
  <c r="G160" i="23"/>
  <c r="G159" i="23"/>
  <c r="G158" i="23"/>
  <c r="G157" i="23"/>
  <c r="G156" i="23"/>
  <c r="G155" i="23"/>
  <c r="G162" i="23" s="1"/>
  <c r="N151" i="23"/>
  <c r="M151" i="23"/>
  <c r="L151" i="23"/>
  <c r="K151" i="23"/>
  <c r="J151" i="23"/>
  <c r="H151" i="23"/>
  <c r="G151" i="23"/>
  <c r="F151" i="23"/>
  <c r="E151" i="23"/>
  <c r="D151" i="23"/>
  <c r="I150" i="23"/>
  <c r="I149" i="23"/>
  <c r="I148" i="23"/>
  <c r="I147" i="23"/>
  <c r="I146" i="23"/>
  <c r="I145" i="23"/>
  <c r="I144" i="23"/>
  <c r="I151" i="23" s="1"/>
  <c r="F137" i="23"/>
  <c r="E137" i="23"/>
  <c r="D137" i="23"/>
  <c r="G136" i="23"/>
  <c r="G135" i="23"/>
  <c r="G134" i="23"/>
  <c r="G133" i="23"/>
  <c r="G132" i="23"/>
  <c r="G131" i="23"/>
  <c r="G137" i="23" s="1"/>
  <c r="L127" i="23"/>
  <c r="K127" i="23"/>
  <c r="I127" i="23"/>
  <c r="H127" i="23"/>
  <c r="G127" i="23"/>
  <c r="F127" i="23"/>
  <c r="E127" i="23"/>
  <c r="D127" i="23"/>
  <c r="L116" i="23"/>
  <c r="K116" i="23"/>
  <c r="I116" i="23"/>
  <c r="H116" i="23"/>
  <c r="G116" i="23"/>
  <c r="F116" i="23"/>
  <c r="E116" i="23"/>
  <c r="D116" i="23"/>
  <c r="M105" i="23"/>
  <c r="L105" i="23"/>
  <c r="K105" i="23"/>
  <c r="J105" i="23"/>
  <c r="I105" i="23"/>
  <c r="H105" i="23"/>
  <c r="G105" i="23"/>
  <c r="F105" i="23"/>
  <c r="E105" i="23"/>
  <c r="D105" i="23"/>
  <c r="K92" i="23"/>
  <c r="J92" i="23"/>
  <c r="I92" i="23"/>
  <c r="H92" i="23"/>
  <c r="G92" i="23"/>
  <c r="F92" i="23"/>
  <c r="E92" i="23"/>
  <c r="D92" i="23"/>
  <c r="O79" i="23"/>
  <c r="N79" i="23"/>
  <c r="M79" i="23"/>
  <c r="L79" i="23"/>
  <c r="K79" i="23"/>
  <c r="J79" i="23"/>
  <c r="I79" i="23"/>
  <c r="F79" i="23"/>
  <c r="E79" i="23"/>
  <c r="D79" i="23"/>
  <c r="G78" i="23"/>
  <c r="G77" i="23"/>
  <c r="G76" i="23"/>
  <c r="G75" i="23"/>
  <c r="G74" i="23"/>
  <c r="G73" i="23"/>
  <c r="G72" i="23"/>
  <c r="G79" i="23" s="1"/>
  <c r="L69" i="23"/>
  <c r="K69" i="23"/>
  <c r="I69" i="23"/>
  <c r="H69" i="23"/>
  <c r="G69" i="23"/>
  <c r="F69" i="23"/>
  <c r="E69" i="23"/>
  <c r="D69" i="23"/>
  <c r="K58" i="23"/>
  <c r="J58" i="23"/>
  <c r="I58" i="23"/>
  <c r="H58" i="23"/>
  <c r="G58" i="23"/>
  <c r="F58" i="23"/>
  <c r="E58" i="23"/>
  <c r="D58" i="23"/>
  <c r="E47" i="23"/>
  <c r="D47" i="23"/>
  <c r="F35" i="23"/>
  <c r="E35" i="23"/>
  <c r="D35" i="23"/>
  <c r="G35" i="23" s="1"/>
  <c r="G34" i="23"/>
  <c r="G33" i="23"/>
  <c r="G32" i="23"/>
  <c r="G31" i="23"/>
  <c r="G30" i="23"/>
  <c r="G29" i="23"/>
  <c r="G28" i="23"/>
  <c r="O24" i="23"/>
  <c r="N24" i="23"/>
  <c r="M24" i="23"/>
  <c r="L24" i="23"/>
  <c r="K24" i="23"/>
  <c r="J24" i="23"/>
  <c r="I24" i="23"/>
  <c r="H24" i="23"/>
  <c r="G24" i="23"/>
  <c r="F24" i="23"/>
  <c r="E24" i="23"/>
  <c r="D24" i="23"/>
  <c r="G23" i="23"/>
  <c r="G22" i="23"/>
  <c r="G21" i="23"/>
  <c r="G20" i="23"/>
  <c r="G19" i="23"/>
  <c r="G18" i="23"/>
  <c r="G17" i="23"/>
  <c r="I219" i="22" l="1"/>
  <c r="H219" i="22"/>
  <c r="G219" i="22"/>
  <c r="L209" i="22"/>
  <c r="K209" i="22"/>
  <c r="J209" i="22"/>
  <c r="I209" i="22"/>
  <c r="H209" i="22"/>
  <c r="G209" i="22"/>
  <c r="F209" i="22"/>
  <c r="E209" i="22"/>
  <c r="D209" i="22"/>
  <c r="L196" i="22"/>
  <c r="K196" i="22"/>
  <c r="J196" i="22"/>
  <c r="I196" i="22"/>
  <c r="H196" i="22"/>
  <c r="D196" i="22"/>
  <c r="G195" i="22"/>
  <c r="G194" i="22"/>
  <c r="G193" i="22"/>
  <c r="G192" i="22"/>
  <c r="G191" i="22"/>
  <c r="G190" i="22"/>
  <c r="G189" i="22"/>
  <c r="G196" i="22" s="1"/>
  <c r="O185" i="22"/>
  <c r="N185" i="22"/>
  <c r="M185" i="22"/>
  <c r="L185" i="22"/>
  <c r="K185" i="22"/>
  <c r="J185" i="22"/>
  <c r="I185" i="22"/>
  <c r="H185" i="22"/>
  <c r="F185" i="22"/>
  <c r="E185" i="22"/>
  <c r="D185" i="22"/>
  <c r="G184" i="22"/>
  <c r="G183" i="22"/>
  <c r="G182" i="22"/>
  <c r="G181" i="22"/>
  <c r="G180" i="22"/>
  <c r="G179" i="22"/>
  <c r="G185" i="22" s="1"/>
  <c r="G178" i="22"/>
  <c r="I172" i="22"/>
  <c r="H172" i="22"/>
  <c r="G172" i="22"/>
  <c r="F172" i="22"/>
  <c r="E172" i="22"/>
  <c r="D172" i="22"/>
  <c r="K171" i="22"/>
  <c r="J171" i="22"/>
  <c r="K170" i="22"/>
  <c r="J170" i="22"/>
  <c r="K169" i="22"/>
  <c r="J169" i="22"/>
  <c r="K168" i="22"/>
  <c r="J168" i="22"/>
  <c r="K167" i="22"/>
  <c r="J167" i="22"/>
  <c r="K166" i="22"/>
  <c r="J166" i="22"/>
  <c r="K165" i="22"/>
  <c r="K172" i="22" s="1"/>
  <c r="J165" i="22"/>
  <c r="J172" i="22" s="1"/>
  <c r="J162" i="22"/>
  <c r="I162" i="22"/>
  <c r="H162" i="22"/>
  <c r="F162" i="22"/>
  <c r="E162" i="22"/>
  <c r="D162" i="22"/>
  <c r="G161" i="22"/>
  <c r="G160" i="22"/>
  <c r="G159" i="22"/>
  <c r="G158" i="22"/>
  <c r="G157" i="22"/>
  <c r="G156" i="22"/>
  <c r="G162" i="22" s="1"/>
  <c r="G155" i="22"/>
  <c r="N151" i="22"/>
  <c r="M151" i="22"/>
  <c r="L151" i="22"/>
  <c r="K151" i="22"/>
  <c r="J151" i="22"/>
  <c r="H151" i="22"/>
  <c r="G151" i="22"/>
  <c r="F151" i="22"/>
  <c r="E151" i="22"/>
  <c r="D151" i="22"/>
  <c r="I150" i="22"/>
  <c r="I149" i="22"/>
  <c r="I148" i="22"/>
  <c r="I147" i="22"/>
  <c r="I146" i="22"/>
  <c r="I145" i="22"/>
  <c r="I144" i="22"/>
  <c r="I151" i="22" s="1"/>
  <c r="F137" i="22"/>
  <c r="E137" i="22"/>
  <c r="D137" i="22"/>
  <c r="G136" i="22"/>
  <c r="G135" i="22"/>
  <c r="G134" i="22"/>
  <c r="G133" i="22"/>
  <c r="G132" i="22"/>
  <c r="G137" i="22" s="1"/>
  <c r="G131" i="22"/>
  <c r="L127" i="22"/>
  <c r="K127" i="22"/>
  <c r="I127" i="22"/>
  <c r="H127" i="22"/>
  <c r="G127" i="22"/>
  <c r="F127" i="22"/>
  <c r="E127" i="22"/>
  <c r="D127" i="22"/>
  <c r="L116" i="22"/>
  <c r="K116" i="22"/>
  <c r="I116" i="22"/>
  <c r="H116" i="22"/>
  <c r="G116" i="22"/>
  <c r="F116" i="22"/>
  <c r="E116" i="22"/>
  <c r="D116" i="22"/>
  <c r="M105" i="22"/>
  <c r="L105" i="22"/>
  <c r="K105" i="22"/>
  <c r="J105" i="22"/>
  <c r="I105" i="22"/>
  <c r="H105" i="22"/>
  <c r="G105" i="22"/>
  <c r="F105" i="22"/>
  <c r="E105" i="22"/>
  <c r="D105" i="22"/>
  <c r="K92" i="22"/>
  <c r="J92" i="22"/>
  <c r="I92" i="22"/>
  <c r="H92" i="22"/>
  <c r="G92" i="22"/>
  <c r="F92" i="22"/>
  <c r="E92" i="22"/>
  <c r="D92" i="22"/>
  <c r="O79" i="22"/>
  <c r="N79" i="22"/>
  <c r="M79" i="22"/>
  <c r="L79" i="22"/>
  <c r="K79" i="22"/>
  <c r="J79" i="22"/>
  <c r="I79" i="22"/>
  <c r="F79" i="22"/>
  <c r="E79" i="22"/>
  <c r="D79" i="22"/>
  <c r="G78" i="22"/>
  <c r="G77" i="22"/>
  <c r="G76" i="22"/>
  <c r="G75" i="22"/>
  <c r="G74" i="22"/>
  <c r="G73" i="22"/>
  <c r="G79" i="22" s="1"/>
  <c r="G72" i="22"/>
  <c r="L69" i="22"/>
  <c r="K69" i="22"/>
  <c r="I69" i="22"/>
  <c r="H69" i="22"/>
  <c r="G69" i="22"/>
  <c r="F69" i="22"/>
  <c r="E69" i="22"/>
  <c r="D69" i="22"/>
  <c r="K58" i="22"/>
  <c r="J58" i="22"/>
  <c r="I58" i="22"/>
  <c r="H58" i="22"/>
  <c r="G58" i="22"/>
  <c r="F58" i="22"/>
  <c r="E58" i="22"/>
  <c r="D58" i="22"/>
  <c r="E47" i="22"/>
  <c r="D47" i="22"/>
  <c r="G35" i="22"/>
  <c r="F35" i="22"/>
  <c r="E35" i="22"/>
  <c r="D35" i="22"/>
  <c r="G34" i="22"/>
  <c r="G33" i="22"/>
  <c r="G32" i="22"/>
  <c r="G31" i="22"/>
  <c r="G30" i="22"/>
  <c r="G29" i="22"/>
  <c r="G28" i="22"/>
  <c r="O24" i="22"/>
  <c r="N24" i="22"/>
  <c r="M24" i="22"/>
  <c r="L24" i="22"/>
  <c r="K24" i="22"/>
  <c r="J24" i="22"/>
  <c r="I24" i="22"/>
  <c r="H24" i="22"/>
  <c r="F24" i="22"/>
  <c r="G24" i="22" s="1"/>
  <c r="E24" i="22"/>
  <c r="D24" i="22"/>
  <c r="G23" i="22"/>
  <c r="G22" i="22"/>
  <c r="G21" i="22"/>
  <c r="G20" i="22"/>
  <c r="G19" i="22"/>
  <c r="G18" i="22"/>
  <c r="G17" i="22"/>
  <c r="I219" i="21" l="1"/>
  <c r="H219" i="21"/>
  <c r="G219" i="21"/>
  <c r="F219" i="21"/>
  <c r="D219" i="21"/>
  <c r="E218" i="21"/>
  <c r="E217" i="21"/>
  <c r="E219" i="21" s="1"/>
  <c r="F213" i="21"/>
  <c r="D213" i="21"/>
  <c r="L209" i="21"/>
  <c r="K209" i="21"/>
  <c r="J209" i="21"/>
  <c r="I209" i="21"/>
  <c r="H209" i="21"/>
  <c r="G209" i="21"/>
  <c r="F209" i="21"/>
  <c r="E209" i="21"/>
  <c r="D209" i="21"/>
  <c r="G195" i="21"/>
  <c r="G194" i="21"/>
  <c r="G193" i="21"/>
  <c r="L192" i="21"/>
  <c r="K192" i="21"/>
  <c r="K196" i="21" s="1"/>
  <c r="J192" i="21"/>
  <c r="I192" i="21"/>
  <c r="I196" i="21" s="1"/>
  <c r="H192" i="21"/>
  <c r="F192" i="21"/>
  <c r="F196" i="21" s="1"/>
  <c r="E192" i="21"/>
  <c r="G192" i="21" s="1"/>
  <c r="D192" i="21"/>
  <c r="D196" i="21" s="1"/>
  <c r="L191" i="21"/>
  <c r="L196" i="21" s="1"/>
  <c r="K191" i="21"/>
  <c r="J191" i="21"/>
  <c r="J196" i="21" s="1"/>
  <c r="I191" i="21"/>
  <c r="H191" i="21"/>
  <c r="H196" i="21" s="1"/>
  <c r="E191" i="21"/>
  <c r="G191" i="21" s="1"/>
  <c r="G190" i="21"/>
  <c r="G189" i="21"/>
  <c r="G196" i="21" s="1"/>
  <c r="O185" i="21"/>
  <c r="N185" i="21"/>
  <c r="M185" i="21"/>
  <c r="L185" i="21"/>
  <c r="K185" i="21"/>
  <c r="J185" i="21"/>
  <c r="H185" i="21"/>
  <c r="F185" i="21"/>
  <c r="D185" i="21"/>
  <c r="G184" i="21"/>
  <c r="G183" i="21"/>
  <c r="G182" i="21"/>
  <c r="I181" i="21"/>
  <c r="H181" i="21"/>
  <c r="G181" i="21"/>
  <c r="F181" i="21"/>
  <c r="E181" i="21"/>
  <c r="E185" i="21" s="1"/>
  <c r="D181" i="21"/>
  <c r="I180" i="21"/>
  <c r="I185" i="21" s="1"/>
  <c r="H180" i="21"/>
  <c r="G180" i="21"/>
  <c r="E180" i="21"/>
  <c r="G179" i="21"/>
  <c r="G178" i="21"/>
  <c r="G185" i="21" s="1"/>
  <c r="I172" i="21"/>
  <c r="H172" i="21"/>
  <c r="G172" i="21"/>
  <c r="F172" i="21"/>
  <c r="E172" i="21"/>
  <c r="D172" i="21"/>
  <c r="K171" i="21"/>
  <c r="J171" i="21"/>
  <c r="K170" i="21"/>
  <c r="J170" i="21"/>
  <c r="K169" i="21"/>
  <c r="J169" i="21"/>
  <c r="K168" i="21"/>
  <c r="J168" i="21"/>
  <c r="K167" i="21"/>
  <c r="J167" i="21"/>
  <c r="K166" i="21"/>
  <c r="J166" i="21"/>
  <c r="K165" i="21"/>
  <c r="K172" i="21" s="1"/>
  <c r="J165" i="21"/>
  <c r="J172" i="21" s="1"/>
  <c r="J162" i="21"/>
  <c r="I162" i="21"/>
  <c r="H162" i="21"/>
  <c r="F162" i="21"/>
  <c r="E162" i="21"/>
  <c r="D162" i="21"/>
  <c r="G161" i="21"/>
  <c r="G160" i="21"/>
  <c r="G159" i="21"/>
  <c r="G158" i="21"/>
  <c r="G157" i="21"/>
  <c r="G156" i="21"/>
  <c r="G155" i="21"/>
  <c r="G162" i="21" s="1"/>
  <c r="N151" i="21"/>
  <c r="M151" i="21"/>
  <c r="L151" i="21"/>
  <c r="K151" i="21"/>
  <c r="J151" i="21"/>
  <c r="H151" i="21"/>
  <c r="G151" i="21"/>
  <c r="F151" i="21"/>
  <c r="E151" i="21"/>
  <c r="D151" i="21"/>
  <c r="I150" i="21"/>
  <c r="I149" i="21"/>
  <c r="I148" i="21"/>
  <c r="I147" i="21"/>
  <c r="I146" i="21"/>
  <c r="I145" i="21"/>
  <c r="I144" i="21"/>
  <c r="I151" i="21" s="1"/>
  <c r="F137" i="21"/>
  <c r="E137" i="21"/>
  <c r="D137" i="21"/>
  <c r="G136" i="21"/>
  <c r="G135" i="21"/>
  <c r="G134" i="21"/>
  <c r="G133" i="21"/>
  <c r="G132" i="21"/>
  <c r="G137" i="21" s="1"/>
  <c r="G131" i="21"/>
  <c r="L127" i="21"/>
  <c r="K127" i="21"/>
  <c r="I127" i="21"/>
  <c r="H127" i="21"/>
  <c r="G127" i="21"/>
  <c r="F127" i="21"/>
  <c r="E127" i="21"/>
  <c r="D127" i="21"/>
  <c r="L116" i="21"/>
  <c r="K116" i="21"/>
  <c r="I116" i="21"/>
  <c r="H116" i="21"/>
  <c r="G116" i="21"/>
  <c r="F116" i="21"/>
  <c r="E116" i="21"/>
  <c r="D116" i="21"/>
  <c r="M105" i="21"/>
  <c r="L105" i="21"/>
  <c r="K105" i="21"/>
  <c r="J105" i="21"/>
  <c r="I105" i="21"/>
  <c r="H105" i="21"/>
  <c r="G105" i="21"/>
  <c r="F105" i="21"/>
  <c r="E105" i="21"/>
  <c r="D105" i="21"/>
  <c r="K92" i="21"/>
  <c r="J92" i="21"/>
  <c r="I92" i="21"/>
  <c r="H92" i="21"/>
  <c r="G92" i="21"/>
  <c r="F92" i="21"/>
  <c r="E92" i="21"/>
  <c r="D92" i="21"/>
  <c r="O79" i="21"/>
  <c r="N79" i="21"/>
  <c r="M79" i="21"/>
  <c r="L79" i="21"/>
  <c r="K79" i="21"/>
  <c r="J79" i="21"/>
  <c r="I79" i="21"/>
  <c r="F79" i="21"/>
  <c r="E79" i="21"/>
  <c r="D79" i="21"/>
  <c r="G78" i="21"/>
  <c r="G77" i="21"/>
  <c r="G76" i="21"/>
  <c r="G75" i="21"/>
  <c r="G74" i="21"/>
  <c r="G73" i="21"/>
  <c r="G72" i="21"/>
  <c r="G79" i="21" s="1"/>
  <c r="L69" i="21"/>
  <c r="K69" i="21"/>
  <c r="J69" i="21"/>
  <c r="I69" i="21"/>
  <c r="H69" i="21"/>
  <c r="G69" i="21"/>
  <c r="F69" i="21"/>
  <c r="E69" i="21"/>
  <c r="E65" i="21"/>
  <c r="D65" i="21"/>
  <c r="D69" i="21" s="1"/>
  <c r="K58" i="21"/>
  <c r="J58" i="21"/>
  <c r="I58" i="21"/>
  <c r="H58" i="21"/>
  <c r="G58" i="21"/>
  <c r="F58" i="21"/>
  <c r="E58" i="21"/>
  <c r="D58" i="21"/>
  <c r="J54" i="21"/>
  <c r="E47" i="21"/>
  <c r="D47" i="21"/>
  <c r="F35" i="21"/>
  <c r="E35" i="21"/>
  <c r="G34" i="21"/>
  <c r="G33" i="21"/>
  <c r="G32" i="21"/>
  <c r="D31" i="21"/>
  <c r="D35" i="21" s="1"/>
  <c r="G35" i="21" s="1"/>
  <c r="G30" i="21"/>
  <c r="G29" i="21"/>
  <c r="G28" i="21"/>
  <c r="O24" i="21"/>
  <c r="N24" i="21"/>
  <c r="M24" i="21"/>
  <c r="L24" i="21"/>
  <c r="K24" i="21"/>
  <c r="J24" i="21"/>
  <c r="I24" i="21"/>
  <c r="F24" i="21"/>
  <c r="E24" i="21"/>
  <c r="G23" i="21"/>
  <c r="G22" i="21"/>
  <c r="G21" i="21"/>
  <c r="H20" i="21"/>
  <c r="H24" i="21" s="1"/>
  <c r="G20" i="21"/>
  <c r="D20" i="21"/>
  <c r="D24" i="21" s="1"/>
  <c r="G24" i="21" s="1"/>
  <c r="G19" i="21"/>
  <c r="G18" i="21"/>
  <c r="G17" i="21"/>
  <c r="E196" i="21" l="1"/>
  <c r="G31" i="21"/>
  <c r="E213" i="21"/>
  <c r="I219" i="20" l="1"/>
  <c r="H219" i="20"/>
  <c r="G219" i="20"/>
  <c r="E219" i="20"/>
  <c r="D219" i="20"/>
  <c r="F217" i="20"/>
  <c r="F216" i="20"/>
  <c r="F213" i="20" s="1"/>
  <c r="F214" i="20"/>
  <c r="E213" i="20"/>
  <c r="L209" i="20"/>
  <c r="K209" i="20"/>
  <c r="J209" i="20"/>
  <c r="I209" i="20"/>
  <c r="H209" i="20"/>
  <c r="G209" i="20"/>
  <c r="F209" i="20"/>
  <c r="E209" i="20"/>
  <c r="D209" i="20"/>
  <c r="L196" i="20"/>
  <c r="K196" i="20"/>
  <c r="J196" i="20"/>
  <c r="I196" i="20"/>
  <c r="H196" i="20"/>
  <c r="M196" i="20" s="1"/>
  <c r="F196" i="20"/>
  <c r="E196" i="20"/>
  <c r="G195" i="20"/>
  <c r="G194" i="20"/>
  <c r="G193" i="20"/>
  <c r="J192" i="20"/>
  <c r="M192" i="20" s="1"/>
  <c r="G192" i="20"/>
  <c r="F192" i="20"/>
  <c r="D192" i="20"/>
  <c r="D196" i="20" s="1"/>
  <c r="M191" i="20"/>
  <c r="G191" i="20"/>
  <c r="G196" i="20" s="1"/>
  <c r="G189" i="20"/>
  <c r="O185" i="20"/>
  <c r="N185" i="20"/>
  <c r="M185" i="20"/>
  <c r="L185" i="20"/>
  <c r="K185" i="20"/>
  <c r="J185" i="20"/>
  <c r="I185" i="20"/>
  <c r="F185" i="20"/>
  <c r="E185" i="20"/>
  <c r="G184" i="20"/>
  <c r="T183" i="20"/>
  <c r="G183" i="20"/>
  <c r="G182" i="20"/>
  <c r="H181" i="20"/>
  <c r="H185" i="20" s="1"/>
  <c r="D181" i="20"/>
  <c r="D185" i="20" s="1"/>
  <c r="G180" i="20"/>
  <c r="G179" i="20"/>
  <c r="G178" i="20"/>
  <c r="I172" i="20"/>
  <c r="H172" i="20"/>
  <c r="G172" i="20"/>
  <c r="F172" i="20"/>
  <c r="E172" i="20"/>
  <c r="D172" i="20"/>
  <c r="K171" i="20"/>
  <c r="J171" i="20"/>
  <c r="K170" i="20"/>
  <c r="J170" i="20"/>
  <c r="K169" i="20"/>
  <c r="J169" i="20"/>
  <c r="K168" i="20"/>
  <c r="J168" i="20"/>
  <c r="K167" i="20"/>
  <c r="K172" i="20" s="1"/>
  <c r="J167" i="20"/>
  <c r="K166" i="20"/>
  <c r="K165" i="20"/>
  <c r="J165" i="20"/>
  <c r="J172" i="20" s="1"/>
  <c r="J162" i="20"/>
  <c r="I162" i="20"/>
  <c r="H162" i="20"/>
  <c r="F162" i="20"/>
  <c r="E162" i="20"/>
  <c r="D162" i="20"/>
  <c r="G161" i="20"/>
  <c r="G160" i="20"/>
  <c r="G159" i="20"/>
  <c r="G158" i="20"/>
  <c r="G157" i="20"/>
  <c r="G162" i="20" s="1"/>
  <c r="G155" i="20"/>
  <c r="N151" i="20"/>
  <c r="M151" i="20"/>
  <c r="L151" i="20"/>
  <c r="K151" i="20"/>
  <c r="J151" i="20"/>
  <c r="H151" i="20"/>
  <c r="G151" i="20"/>
  <c r="F151" i="20"/>
  <c r="E151" i="20"/>
  <c r="D151" i="20"/>
  <c r="I150" i="20"/>
  <c r="I149" i="20"/>
  <c r="I148" i="20"/>
  <c r="I147" i="20"/>
  <c r="I151" i="20" s="1"/>
  <c r="I146" i="20"/>
  <c r="I144" i="20"/>
  <c r="F137" i="20"/>
  <c r="E137" i="20"/>
  <c r="D137" i="20"/>
  <c r="G136" i="20"/>
  <c r="G135" i="20"/>
  <c r="G134" i="20"/>
  <c r="G133" i="20"/>
  <c r="G132" i="20"/>
  <c r="G137" i="20" s="1"/>
  <c r="L127" i="20"/>
  <c r="K127" i="20"/>
  <c r="I127" i="20"/>
  <c r="H127" i="20"/>
  <c r="G127" i="20"/>
  <c r="F127" i="20"/>
  <c r="E127" i="20"/>
  <c r="D127" i="20"/>
  <c r="L116" i="20"/>
  <c r="K116" i="20"/>
  <c r="I116" i="20"/>
  <c r="H116" i="20"/>
  <c r="G116" i="20"/>
  <c r="F116" i="20"/>
  <c r="E116" i="20"/>
  <c r="D116" i="20"/>
  <c r="M105" i="20"/>
  <c r="L105" i="20"/>
  <c r="K105" i="20"/>
  <c r="J105" i="20"/>
  <c r="I105" i="20"/>
  <c r="H105" i="20"/>
  <c r="G105" i="20"/>
  <c r="F105" i="20"/>
  <c r="E105" i="20"/>
  <c r="D105" i="20"/>
  <c r="K92" i="20"/>
  <c r="J92" i="20"/>
  <c r="I92" i="20"/>
  <c r="H92" i="20"/>
  <c r="G92" i="20"/>
  <c r="F92" i="20"/>
  <c r="E92" i="20"/>
  <c r="D92" i="20"/>
  <c r="O79" i="20"/>
  <c r="N79" i="20"/>
  <c r="M79" i="20"/>
  <c r="L79" i="20"/>
  <c r="K79" i="20"/>
  <c r="J79" i="20"/>
  <c r="I79" i="20"/>
  <c r="F79" i="20"/>
  <c r="E79" i="20"/>
  <c r="D79" i="20"/>
  <c r="G78" i="20"/>
  <c r="G77" i="20"/>
  <c r="G76" i="20"/>
  <c r="G75" i="20"/>
  <c r="G74" i="20"/>
  <c r="G72" i="20"/>
  <c r="G79" i="20" s="1"/>
  <c r="L69" i="20"/>
  <c r="K69" i="20"/>
  <c r="I69" i="20"/>
  <c r="H69" i="20"/>
  <c r="G69" i="20"/>
  <c r="F69" i="20"/>
  <c r="E69" i="20"/>
  <c r="D69" i="20"/>
  <c r="K58" i="20"/>
  <c r="J58" i="20"/>
  <c r="I58" i="20"/>
  <c r="H58" i="20"/>
  <c r="G58" i="20"/>
  <c r="F58" i="20"/>
  <c r="E58" i="20"/>
  <c r="D58" i="20"/>
  <c r="E47" i="20"/>
  <c r="D47" i="20"/>
  <c r="F35" i="20"/>
  <c r="E35" i="20"/>
  <c r="D35" i="20"/>
  <c r="G35" i="20" s="1"/>
  <c r="G34" i="20"/>
  <c r="G33" i="20"/>
  <c r="G32" i="20"/>
  <c r="G31" i="20"/>
  <c r="E31" i="20"/>
  <c r="G30" i="20"/>
  <c r="G28" i="20"/>
  <c r="O24" i="20"/>
  <c r="N24" i="20"/>
  <c r="M24" i="20"/>
  <c r="L24" i="20"/>
  <c r="K24" i="20"/>
  <c r="J24" i="20"/>
  <c r="I24" i="20"/>
  <c r="H24" i="20"/>
  <c r="G24" i="20"/>
  <c r="F24" i="20"/>
  <c r="E24" i="20"/>
  <c r="D24" i="20"/>
  <c r="G23" i="20"/>
  <c r="G22" i="20"/>
  <c r="G21" i="20"/>
  <c r="G20" i="20"/>
  <c r="G19" i="20"/>
  <c r="G18" i="20"/>
  <c r="G17" i="20"/>
  <c r="F219" i="20" l="1"/>
  <c r="G181" i="20"/>
  <c r="G185" i="20" s="1"/>
  <c r="I219" i="16" l="1"/>
  <c r="H219" i="16"/>
  <c r="G219" i="16"/>
  <c r="F219" i="16"/>
  <c r="E219" i="16"/>
  <c r="D219" i="16"/>
  <c r="L209" i="16"/>
  <c r="K209" i="16"/>
  <c r="J209" i="16"/>
  <c r="I209" i="16"/>
  <c r="H209" i="16"/>
  <c r="G209" i="16"/>
  <c r="F209" i="16"/>
  <c r="E209" i="16"/>
  <c r="D209" i="16"/>
  <c r="L196" i="16"/>
  <c r="K196" i="16"/>
  <c r="J196" i="16"/>
  <c r="I196" i="16"/>
  <c r="H196" i="16"/>
  <c r="F196" i="16"/>
  <c r="E196" i="16"/>
  <c r="D196" i="16"/>
  <c r="G195" i="16"/>
  <c r="G194" i="16"/>
  <c r="G193" i="16"/>
  <c r="G192" i="16"/>
  <c r="G191" i="16"/>
  <c r="G190" i="16"/>
  <c r="G189" i="16"/>
  <c r="G196" i="16" s="1"/>
  <c r="O185" i="16"/>
  <c r="N185" i="16"/>
  <c r="M185" i="16"/>
  <c r="L185" i="16"/>
  <c r="K185" i="16"/>
  <c r="J185" i="16"/>
  <c r="I185" i="16"/>
  <c r="H185" i="16"/>
  <c r="F185" i="16"/>
  <c r="E185" i="16"/>
  <c r="D185" i="16"/>
  <c r="G184" i="16"/>
  <c r="G183" i="16"/>
  <c r="G182" i="16"/>
  <c r="G181" i="16"/>
  <c r="G180" i="16"/>
  <c r="G185" i="16" s="1"/>
  <c r="G179" i="16"/>
  <c r="G178" i="16"/>
  <c r="I172" i="16"/>
  <c r="H172" i="16"/>
  <c r="G172" i="16"/>
  <c r="F172" i="16"/>
  <c r="E172" i="16"/>
  <c r="D172" i="16"/>
  <c r="K171" i="16"/>
  <c r="J171" i="16"/>
  <c r="K170" i="16"/>
  <c r="J170" i="16"/>
  <c r="K169" i="16"/>
  <c r="J169" i="16"/>
  <c r="K168" i="16"/>
  <c r="J168" i="16"/>
  <c r="K167" i="16"/>
  <c r="J167" i="16"/>
  <c r="K166" i="16"/>
  <c r="J166" i="16"/>
  <c r="K165" i="16"/>
  <c r="K172" i="16" s="1"/>
  <c r="J165" i="16"/>
  <c r="J172" i="16" s="1"/>
  <c r="J162" i="16"/>
  <c r="I162" i="16"/>
  <c r="H162" i="16"/>
  <c r="F162" i="16"/>
  <c r="E162" i="16"/>
  <c r="D162" i="16"/>
  <c r="G161" i="16"/>
  <c r="G160" i="16"/>
  <c r="G159" i="16"/>
  <c r="G158" i="16"/>
  <c r="G157" i="16"/>
  <c r="G162" i="16" s="1"/>
  <c r="G156" i="16"/>
  <c r="G155" i="16"/>
  <c r="N151" i="16"/>
  <c r="M151" i="16"/>
  <c r="L151" i="16"/>
  <c r="K151" i="16"/>
  <c r="J151" i="16"/>
  <c r="H151" i="16"/>
  <c r="G151" i="16"/>
  <c r="F151" i="16"/>
  <c r="E151" i="16"/>
  <c r="D151" i="16"/>
  <c r="I150" i="16"/>
  <c r="I149" i="16"/>
  <c r="I148" i="16"/>
  <c r="I147" i="16"/>
  <c r="I146" i="16"/>
  <c r="I145" i="16"/>
  <c r="I144" i="16"/>
  <c r="I151" i="16" s="1"/>
  <c r="F137" i="16"/>
  <c r="E137" i="16"/>
  <c r="D137" i="16"/>
  <c r="G136" i="16"/>
  <c r="G135" i="16"/>
  <c r="G134" i="16"/>
  <c r="G133" i="16"/>
  <c r="G132" i="16"/>
  <c r="G131" i="16"/>
  <c r="G137" i="16" s="1"/>
  <c r="L127" i="16"/>
  <c r="K127" i="16"/>
  <c r="I127" i="16"/>
  <c r="H127" i="16"/>
  <c r="G127" i="16"/>
  <c r="F127" i="16"/>
  <c r="E127" i="16"/>
  <c r="D127" i="16"/>
  <c r="L116" i="16"/>
  <c r="K116" i="16"/>
  <c r="I116" i="16"/>
  <c r="H116" i="16"/>
  <c r="G116" i="16"/>
  <c r="F116" i="16"/>
  <c r="E116" i="16"/>
  <c r="D116" i="16"/>
  <c r="M105" i="16"/>
  <c r="L105" i="16"/>
  <c r="K105" i="16"/>
  <c r="J105" i="16"/>
  <c r="I105" i="16"/>
  <c r="H105" i="16"/>
  <c r="G105" i="16"/>
  <c r="F105" i="16"/>
  <c r="E105" i="16"/>
  <c r="D105" i="16"/>
  <c r="K92" i="16"/>
  <c r="J92" i="16"/>
  <c r="I92" i="16"/>
  <c r="H92" i="16"/>
  <c r="G92" i="16"/>
  <c r="F92" i="16"/>
  <c r="E92" i="16"/>
  <c r="D92" i="16"/>
  <c r="O79" i="16"/>
  <c r="N79" i="16"/>
  <c r="M79" i="16"/>
  <c r="L79" i="16"/>
  <c r="K79" i="16"/>
  <c r="J79" i="16"/>
  <c r="I79" i="16"/>
  <c r="F79" i="16"/>
  <c r="E79" i="16"/>
  <c r="D79" i="16"/>
  <c r="G78" i="16"/>
  <c r="G77" i="16"/>
  <c r="G76" i="16"/>
  <c r="G75" i="16"/>
  <c r="G74" i="16"/>
  <c r="G79" i="16" s="1"/>
  <c r="G73" i="16"/>
  <c r="G72" i="16"/>
  <c r="L69" i="16"/>
  <c r="K69" i="16"/>
  <c r="I69" i="16"/>
  <c r="H69" i="16"/>
  <c r="G69" i="16"/>
  <c r="F69" i="16"/>
  <c r="E69" i="16"/>
  <c r="D69" i="16"/>
  <c r="K58" i="16"/>
  <c r="J58" i="16"/>
  <c r="I58" i="16"/>
  <c r="H58" i="16"/>
  <c r="G58" i="16"/>
  <c r="F58" i="16"/>
  <c r="E58" i="16"/>
  <c r="D58" i="16"/>
  <c r="E47" i="16"/>
  <c r="D47" i="16"/>
  <c r="F35" i="16"/>
  <c r="E35" i="16"/>
  <c r="D35" i="16"/>
  <c r="G35" i="16" s="1"/>
  <c r="G34" i="16"/>
  <c r="G33" i="16"/>
  <c r="G32" i="16"/>
  <c r="G31" i="16"/>
  <c r="G30" i="16"/>
  <c r="G29" i="16"/>
  <c r="G28" i="16"/>
  <c r="O24" i="16"/>
  <c r="N24" i="16"/>
  <c r="M24" i="16"/>
  <c r="L24" i="16"/>
  <c r="K24" i="16"/>
  <c r="J24" i="16"/>
  <c r="I24" i="16"/>
  <c r="H24" i="16"/>
  <c r="G24" i="16"/>
  <c r="F24" i="16"/>
  <c r="E24" i="16"/>
  <c r="D24" i="16"/>
  <c r="G23" i="16"/>
  <c r="G22" i="16"/>
  <c r="G21" i="16"/>
  <c r="G20" i="16"/>
  <c r="G19" i="16"/>
  <c r="G18" i="16"/>
  <c r="G17" i="16"/>
  <c r="I219" i="15" l="1"/>
  <c r="H219" i="15"/>
  <c r="G219" i="15"/>
  <c r="F219" i="15"/>
  <c r="D219" i="15"/>
  <c r="F218" i="15"/>
  <c r="E218" i="15"/>
  <c r="E219" i="15" s="1"/>
  <c r="L209" i="15"/>
  <c r="K209" i="15"/>
  <c r="J209" i="15"/>
  <c r="I209" i="15"/>
  <c r="H209" i="15"/>
  <c r="G209" i="15"/>
  <c r="F209" i="15"/>
  <c r="E209" i="15"/>
  <c r="D209" i="15"/>
  <c r="J196" i="15"/>
  <c r="H196" i="15"/>
  <c r="F196" i="15"/>
  <c r="G195" i="15"/>
  <c r="G194" i="15"/>
  <c r="G193" i="15"/>
  <c r="L192" i="15"/>
  <c r="K192" i="15"/>
  <c r="K196" i="15" s="1"/>
  <c r="I192" i="15"/>
  <c r="I196" i="15" s="1"/>
  <c r="G192" i="15"/>
  <c r="E192" i="15"/>
  <c r="E196" i="15" s="1"/>
  <c r="G191" i="15"/>
  <c r="L191" i="15" s="1"/>
  <c r="D191" i="15"/>
  <c r="D196" i="15" s="1"/>
  <c r="L190" i="15"/>
  <c r="L196" i="15" s="1"/>
  <c r="G190" i="15"/>
  <c r="G189" i="15"/>
  <c r="G196" i="15" s="1"/>
  <c r="O185" i="15"/>
  <c r="N185" i="15"/>
  <c r="M185" i="15"/>
  <c r="L185" i="15"/>
  <c r="K185" i="15"/>
  <c r="I185" i="15"/>
  <c r="H185" i="15"/>
  <c r="F185" i="15"/>
  <c r="E185" i="15"/>
  <c r="G184" i="15"/>
  <c r="G183" i="15"/>
  <c r="G182" i="15"/>
  <c r="J181" i="15"/>
  <c r="J185" i="15" s="1"/>
  <c r="G181" i="15"/>
  <c r="L180" i="15"/>
  <c r="D180" i="15"/>
  <c r="G180" i="15" s="1"/>
  <c r="G179" i="15"/>
  <c r="G178" i="15"/>
  <c r="G185" i="15" s="1"/>
  <c r="I172" i="15"/>
  <c r="H172" i="15"/>
  <c r="G172" i="15"/>
  <c r="F172" i="15"/>
  <c r="E172" i="15"/>
  <c r="D172" i="15"/>
  <c r="K171" i="15"/>
  <c r="J171" i="15"/>
  <c r="K170" i="15"/>
  <c r="J170" i="15"/>
  <c r="K169" i="15"/>
  <c r="J169" i="15"/>
  <c r="K168" i="15"/>
  <c r="J168" i="15"/>
  <c r="K167" i="15"/>
  <c r="J167" i="15"/>
  <c r="K166" i="15"/>
  <c r="J166" i="15"/>
  <c r="K165" i="15"/>
  <c r="K172" i="15" s="1"/>
  <c r="J165" i="15"/>
  <c r="J172" i="15" s="1"/>
  <c r="J162" i="15"/>
  <c r="I162" i="15"/>
  <c r="H162" i="15"/>
  <c r="F162" i="15"/>
  <c r="E162" i="15"/>
  <c r="D162" i="15"/>
  <c r="G161" i="15"/>
  <c r="G160" i="15"/>
  <c r="G159" i="15"/>
  <c r="G158" i="15"/>
  <c r="G157" i="15"/>
  <c r="G162" i="15" s="1"/>
  <c r="G156" i="15"/>
  <c r="G155" i="15"/>
  <c r="N151" i="15"/>
  <c r="M151" i="15"/>
  <c r="L151" i="15"/>
  <c r="K151" i="15"/>
  <c r="J151" i="15"/>
  <c r="H151" i="15"/>
  <c r="G151" i="15"/>
  <c r="F151" i="15"/>
  <c r="E151" i="15"/>
  <c r="D151" i="15"/>
  <c r="I150" i="15"/>
  <c r="I149" i="15"/>
  <c r="I148" i="15"/>
  <c r="I147" i="15"/>
  <c r="I146" i="15"/>
  <c r="I145" i="15"/>
  <c r="I144" i="15"/>
  <c r="I151" i="15" s="1"/>
  <c r="F138" i="15"/>
  <c r="E138" i="15"/>
  <c r="D138" i="15"/>
  <c r="G137" i="15"/>
  <c r="G136" i="15"/>
  <c r="G135" i="15"/>
  <c r="G134" i="15"/>
  <c r="G133" i="15"/>
  <c r="G131" i="15"/>
  <c r="G138" i="15" s="1"/>
  <c r="L127" i="15"/>
  <c r="K127" i="15"/>
  <c r="I127" i="15"/>
  <c r="H127" i="15"/>
  <c r="G127" i="15"/>
  <c r="F127" i="15"/>
  <c r="E127" i="15"/>
  <c r="D127" i="15"/>
  <c r="L116" i="15"/>
  <c r="K116" i="15"/>
  <c r="I116" i="15"/>
  <c r="H116" i="15"/>
  <c r="G116" i="15"/>
  <c r="F116" i="15"/>
  <c r="E116" i="15"/>
  <c r="D116" i="15"/>
  <c r="M105" i="15"/>
  <c r="L105" i="15"/>
  <c r="K105" i="15"/>
  <c r="J105" i="15"/>
  <c r="I105" i="15"/>
  <c r="H105" i="15"/>
  <c r="G105" i="15"/>
  <c r="F105" i="15"/>
  <c r="E105" i="15"/>
  <c r="D105" i="15"/>
  <c r="K92" i="15"/>
  <c r="J92" i="15"/>
  <c r="I92" i="15"/>
  <c r="H92" i="15"/>
  <c r="G92" i="15"/>
  <c r="F92" i="15"/>
  <c r="E92" i="15"/>
  <c r="D92" i="15"/>
  <c r="O79" i="15"/>
  <c r="N79" i="15"/>
  <c r="M79" i="15"/>
  <c r="L79" i="15"/>
  <c r="K79" i="15"/>
  <c r="J79" i="15"/>
  <c r="I79" i="15"/>
  <c r="F79" i="15"/>
  <c r="E79" i="15"/>
  <c r="D79" i="15"/>
  <c r="G78" i="15"/>
  <c r="G77" i="15"/>
  <c r="G76" i="15"/>
  <c r="G75" i="15"/>
  <c r="G74" i="15"/>
  <c r="G79" i="15" s="1"/>
  <c r="G73" i="15"/>
  <c r="G72" i="15"/>
  <c r="L69" i="15"/>
  <c r="K69" i="15"/>
  <c r="I69" i="15"/>
  <c r="H69" i="15"/>
  <c r="G69" i="15"/>
  <c r="F69" i="15"/>
  <c r="E69" i="15"/>
  <c r="D69" i="15"/>
  <c r="K58" i="15"/>
  <c r="J58" i="15"/>
  <c r="I58" i="15"/>
  <c r="H58" i="15"/>
  <c r="G58" i="15"/>
  <c r="F58" i="15"/>
  <c r="E58" i="15"/>
  <c r="D58" i="15"/>
  <c r="E47" i="15"/>
  <c r="D47" i="15"/>
  <c r="F35" i="15"/>
  <c r="E35" i="15"/>
  <c r="G34" i="15"/>
  <c r="G33" i="15"/>
  <c r="G32" i="15"/>
  <c r="G31" i="15"/>
  <c r="G30" i="15"/>
  <c r="D30" i="15"/>
  <c r="D35" i="15" s="1"/>
  <c r="G35" i="15" s="1"/>
  <c r="G29" i="15"/>
  <c r="G28" i="15"/>
  <c r="O24" i="15"/>
  <c r="N24" i="15"/>
  <c r="M24" i="15"/>
  <c r="L24" i="15"/>
  <c r="J24" i="15"/>
  <c r="I24" i="15"/>
  <c r="H24" i="15"/>
  <c r="F24" i="15"/>
  <c r="E24" i="15"/>
  <c r="D24" i="15"/>
  <c r="G24" i="15" s="1"/>
  <c r="G23" i="15"/>
  <c r="G22" i="15"/>
  <c r="G21" i="15"/>
  <c r="G20" i="15"/>
  <c r="K19" i="15"/>
  <c r="K24" i="15" s="1"/>
  <c r="G19" i="15"/>
  <c r="D19" i="15"/>
  <c r="G18" i="15"/>
  <c r="G17" i="15"/>
  <c r="D185" i="15" l="1"/>
  <c r="I219" i="14" l="1"/>
  <c r="H219" i="14"/>
  <c r="G219" i="14"/>
  <c r="F219" i="14"/>
  <c r="E219" i="14"/>
  <c r="D219" i="14"/>
  <c r="F213" i="14"/>
  <c r="E213" i="14"/>
  <c r="D213" i="14"/>
  <c r="L209" i="14"/>
  <c r="K209" i="14"/>
  <c r="J209" i="14"/>
  <c r="I209" i="14"/>
  <c r="H209" i="14"/>
  <c r="G209" i="14"/>
  <c r="F209" i="14"/>
  <c r="E209" i="14"/>
  <c r="D209" i="14"/>
  <c r="L196" i="14"/>
  <c r="K196" i="14"/>
  <c r="J196" i="14"/>
  <c r="I196" i="14"/>
  <c r="H196" i="14"/>
  <c r="F196" i="14"/>
  <c r="E196" i="14"/>
  <c r="D196" i="14"/>
  <c r="G195" i="14"/>
  <c r="G194" i="14"/>
  <c r="G193" i="14"/>
  <c r="G192" i="14"/>
  <c r="G191" i="14"/>
  <c r="G196" i="14" s="1"/>
  <c r="G190" i="14"/>
  <c r="G189" i="14"/>
  <c r="O185" i="14"/>
  <c r="N185" i="14"/>
  <c r="M185" i="14"/>
  <c r="L185" i="14"/>
  <c r="K185" i="14"/>
  <c r="J185" i="14"/>
  <c r="I185" i="14"/>
  <c r="H185" i="14"/>
  <c r="F185" i="14"/>
  <c r="E185" i="14"/>
  <c r="D185" i="14"/>
  <c r="G184" i="14"/>
  <c r="G183" i="14"/>
  <c r="G182" i="14"/>
  <c r="G181" i="14"/>
  <c r="G180" i="14"/>
  <c r="G179" i="14"/>
  <c r="G178" i="14"/>
  <c r="G185" i="14" s="1"/>
  <c r="I172" i="14"/>
  <c r="H172" i="14"/>
  <c r="G172" i="14"/>
  <c r="F172" i="14"/>
  <c r="E172" i="14"/>
  <c r="D172" i="14"/>
  <c r="K171" i="14"/>
  <c r="J171" i="14"/>
  <c r="K170" i="14"/>
  <c r="J170" i="14"/>
  <c r="K169" i="14"/>
  <c r="J169" i="14"/>
  <c r="K168" i="14"/>
  <c r="J168" i="14"/>
  <c r="K167" i="14"/>
  <c r="J167" i="14"/>
  <c r="K166" i="14"/>
  <c r="J166" i="14"/>
  <c r="K165" i="14"/>
  <c r="K172" i="14" s="1"/>
  <c r="J165" i="14"/>
  <c r="J172" i="14" s="1"/>
  <c r="J162" i="14"/>
  <c r="I162" i="14"/>
  <c r="H162" i="14"/>
  <c r="F162" i="14"/>
  <c r="E162" i="14"/>
  <c r="D162" i="14"/>
  <c r="G161" i="14"/>
  <c r="G160" i="14"/>
  <c r="G159" i="14"/>
  <c r="G158" i="14"/>
  <c r="G157" i="14"/>
  <c r="G156" i="14"/>
  <c r="G155" i="14"/>
  <c r="G162" i="14" s="1"/>
  <c r="N151" i="14"/>
  <c r="M151" i="14"/>
  <c r="L151" i="14"/>
  <c r="K151" i="14"/>
  <c r="J151" i="14"/>
  <c r="H151" i="14"/>
  <c r="G151" i="14"/>
  <c r="F151" i="14"/>
  <c r="E151" i="14"/>
  <c r="D151" i="14"/>
  <c r="I150" i="14"/>
  <c r="I149" i="14"/>
  <c r="I148" i="14"/>
  <c r="I147" i="14"/>
  <c r="I146" i="14"/>
  <c r="I145" i="14"/>
  <c r="I144" i="14"/>
  <c r="I151" i="14" s="1"/>
  <c r="F137" i="14"/>
  <c r="E137" i="14"/>
  <c r="D137" i="14"/>
  <c r="G136" i="14"/>
  <c r="G135" i="14"/>
  <c r="G134" i="14"/>
  <c r="G133" i="14"/>
  <c r="G132" i="14"/>
  <c r="G137" i="14" s="1"/>
  <c r="G131" i="14"/>
  <c r="L127" i="14"/>
  <c r="K127" i="14"/>
  <c r="I127" i="14"/>
  <c r="H127" i="14"/>
  <c r="G127" i="14"/>
  <c r="F127" i="14"/>
  <c r="E127" i="14"/>
  <c r="D127" i="14"/>
  <c r="L116" i="14"/>
  <c r="K116" i="14"/>
  <c r="I116" i="14"/>
  <c r="H116" i="14"/>
  <c r="G116" i="14"/>
  <c r="F116" i="14"/>
  <c r="E116" i="14"/>
  <c r="D116" i="14"/>
  <c r="M105" i="14"/>
  <c r="L105" i="14"/>
  <c r="K105" i="14"/>
  <c r="J105" i="14"/>
  <c r="I105" i="14"/>
  <c r="H105" i="14"/>
  <c r="G105" i="14"/>
  <c r="F105" i="14"/>
  <c r="E105" i="14"/>
  <c r="D105" i="14"/>
  <c r="K92" i="14"/>
  <c r="J92" i="14"/>
  <c r="I92" i="14"/>
  <c r="H92" i="14"/>
  <c r="G92" i="14"/>
  <c r="F92" i="14"/>
  <c r="E92" i="14"/>
  <c r="D92" i="14"/>
  <c r="O79" i="14"/>
  <c r="N79" i="14"/>
  <c r="M79" i="14"/>
  <c r="L79" i="14"/>
  <c r="K79" i="14"/>
  <c r="J79" i="14"/>
  <c r="I79" i="14"/>
  <c r="F79" i="14"/>
  <c r="E79" i="14"/>
  <c r="D79" i="14"/>
  <c r="G78" i="14"/>
  <c r="G77" i="14"/>
  <c r="G76" i="14"/>
  <c r="G75" i="14"/>
  <c r="G74" i="14"/>
  <c r="G73" i="14"/>
  <c r="G72" i="14"/>
  <c r="G79" i="14" s="1"/>
  <c r="L69" i="14"/>
  <c r="K69" i="14"/>
  <c r="I69" i="14"/>
  <c r="H69" i="14"/>
  <c r="G69" i="14"/>
  <c r="F69" i="14"/>
  <c r="E69" i="14"/>
  <c r="D69" i="14"/>
  <c r="K58" i="14"/>
  <c r="J58" i="14"/>
  <c r="I58" i="14"/>
  <c r="H58" i="14"/>
  <c r="G58" i="14"/>
  <c r="F58" i="14"/>
  <c r="E58" i="14"/>
  <c r="D58" i="14"/>
  <c r="E47" i="14"/>
  <c r="D47" i="14"/>
  <c r="G35" i="14"/>
  <c r="F35" i="14"/>
  <c r="E35" i="14"/>
  <c r="D35" i="14"/>
  <c r="G34" i="14"/>
  <c r="G33" i="14"/>
  <c r="G32" i="14"/>
  <c r="G31" i="14"/>
  <c r="G30" i="14"/>
  <c r="G29" i="14"/>
  <c r="G28" i="14"/>
  <c r="O24" i="14"/>
  <c r="N24" i="14"/>
  <c r="M24" i="14"/>
  <c r="L24" i="14"/>
  <c r="K24" i="14"/>
  <c r="J24" i="14"/>
  <c r="I24" i="14"/>
  <c r="H24" i="14"/>
  <c r="F24" i="14"/>
  <c r="E24" i="14"/>
  <c r="D24" i="14"/>
  <c r="G24" i="14" s="1"/>
  <c r="G23" i="14"/>
  <c r="G22" i="14"/>
  <c r="G21" i="14"/>
  <c r="G20" i="14"/>
  <c r="G19" i="14"/>
  <c r="G18" i="14"/>
  <c r="G17" i="14"/>
  <c r="F219" i="12" l="1"/>
  <c r="E219" i="12"/>
  <c r="D219" i="12"/>
  <c r="L196" i="12"/>
  <c r="K196" i="12"/>
  <c r="J196" i="12"/>
  <c r="I196" i="12"/>
  <c r="H196" i="12"/>
  <c r="F196" i="12"/>
  <c r="E196" i="12"/>
  <c r="D196" i="12"/>
  <c r="G191" i="12"/>
  <c r="G196" i="12" s="1"/>
  <c r="O185" i="12"/>
  <c r="N185" i="12"/>
  <c r="M185" i="12"/>
  <c r="L185" i="12"/>
  <c r="K185" i="12"/>
  <c r="J185" i="12"/>
  <c r="I185" i="12"/>
  <c r="H185" i="12"/>
  <c r="F185" i="12"/>
  <c r="E185" i="12"/>
  <c r="D185" i="12"/>
  <c r="G180" i="12"/>
  <c r="G185" i="12" s="1"/>
  <c r="G179" i="12"/>
  <c r="D137" i="12"/>
  <c r="G132" i="12"/>
  <c r="G137" i="12" s="1"/>
  <c r="G131" i="12"/>
  <c r="M105" i="12"/>
  <c r="E105" i="12"/>
  <c r="D105" i="12"/>
  <c r="O79" i="12"/>
  <c r="N79" i="12"/>
  <c r="M79" i="12"/>
  <c r="L79" i="12"/>
  <c r="K79" i="12"/>
  <c r="J79" i="12"/>
  <c r="I79" i="12"/>
  <c r="H79" i="12"/>
  <c r="F79" i="12"/>
  <c r="E79" i="12"/>
  <c r="D79" i="12"/>
  <c r="G74" i="12"/>
  <c r="G73" i="12"/>
  <c r="G79" i="12" s="1"/>
  <c r="L69" i="12"/>
  <c r="K69" i="12"/>
  <c r="J69" i="12"/>
  <c r="I69" i="12"/>
  <c r="H69" i="12"/>
  <c r="G69" i="12"/>
  <c r="F69" i="12"/>
  <c r="E69" i="12"/>
  <c r="D69" i="12"/>
  <c r="E47" i="12"/>
  <c r="D47" i="12"/>
  <c r="F35" i="12"/>
  <c r="E35" i="12"/>
  <c r="D35" i="12"/>
  <c r="G30" i="12"/>
  <c r="G29" i="12"/>
  <c r="G35" i="12" s="1"/>
  <c r="O24" i="12"/>
  <c r="N24" i="12"/>
  <c r="M24" i="12"/>
  <c r="L24" i="12"/>
  <c r="K24" i="12"/>
  <c r="J24" i="12"/>
  <c r="I24" i="12"/>
  <c r="H24" i="12"/>
  <c r="F24" i="12"/>
  <c r="E24" i="12"/>
  <c r="D24" i="12"/>
  <c r="G19" i="12"/>
  <c r="G24" i="12" s="1"/>
  <c r="G18" i="12"/>
  <c r="I219" i="11" l="1"/>
  <c r="H219" i="11"/>
  <c r="G219" i="11"/>
  <c r="F219" i="11"/>
  <c r="D219" i="11"/>
  <c r="E217" i="11"/>
  <c r="E216" i="11"/>
  <c r="E214" i="11"/>
  <c r="L209" i="11"/>
  <c r="K209" i="11"/>
  <c r="J209" i="11"/>
  <c r="I209" i="11"/>
  <c r="H209" i="11"/>
  <c r="G209" i="11"/>
  <c r="F209" i="11"/>
  <c r="E209" i="11"/>
  <c r="D209" i="11"/>
  <c r="K196" i="11"/>
  <c r="H196" i="11"/>
  <c r="F196" i="11"/>
  <c r="E196" i="11"/>
  <c r="G195" i="11"/>
  <c r="G194" i="11"/>
  <c r="G193" i="11"/>
  <c r="L192" i="11"/>
  <c r="J192" i="11"/>
  <c r="J196" i="11" s="1"/>
  <c r="I192" i="11"/>
  <c r="G192" i="11"/>
  <c r="L191" i="11"/>
  <c r="L196" i="11" s="1"/>
  <c r="I191" i="11"/>
  <c r="D191" i="11"/>
  <c r="D196" i="11" s="1"/>
  <c r="G190" i="11"/>
  <c r="G189" i="11"/>
  <c r="N185" i="11"/>
  <c r="K185" i="11"/>
  <c r="J185" i="11"/>
  <c r="F185" i="11"/>
  <c r="E185" i="11"/>
  <c r="G184" i="11"/>
  <c r="G183" i="11"/>
  <c r="G182" i="11"/>
  <c r="M181" i="11"/>
  <c r="L181" i="11"/>
  <c r="L185" i="11" s="1"/>
  <c r="I181" i="11"/>
  <c r="I185" i="11" s="1"/>
  <c r="G181" i="11"/>
  <c r="O180" i="11"/>
  <c r="O185" i="11" s="1"/>
  <c r="M180" i="11"/>
  <c r="H180" i="11"/>
  <c r="H185" i="11" s="1"/>
  <c r="D180" i="11"/>
  <c r="G180" i="11" s="1"/>
  <c r="G179" i="11"/>
  <c r="G178" i="11"/>
  <c r="I172" i="11"/>
  <c r="H172" i="11"/>
  <c r="G172" i="11"/>
  <c r="F172" i="11"/>
  <c r="E172" i="11"/>
  <c r="D172" i="11"/>
  <c r="K171" i="11"/>
  <c r="J171" i="11"/>
  <c r="K170" i="11"/>
  <c r="J170" i="11"/>
  <c r="K169" i="11"/>
  <c r="J169" i="11"/>
  <c r="K167" i="11"/>
  <c r="J167" i="11"/>
  <c r="K166" i="11"/>
  <c r="J166" i="11"/>
  <c r="K165" i="11"/>
  <c r="J165" i="11"/>
  <c r="J162" i="11"/>
  <c r="I162" i="11"/>
  <c r="H162" i="11"/>
  <c r="F162" i="11"/>
  <c r="E162" i="11"/>
  <c r="D162" i="11"/>
  <c r="G161" i="11"/>
  <c r="G160" i="11"/>
  <c r="G159" i="11"/>
  <c r="G157" i="11"/>
  <c r="G155" i="11"/>
  <c r="N151" i="11"/>
  <c r="M151" i="11"/>
  <c r="L151" i="11"/>
  <c r="K151" i="11"/>
  <c r="J151" i="11"/>
  <c r="H151" i="11"/>
  <c r="G151" i="11"/>
  <c r="F151" i="11"/>
  <c r="E151" i="11"/>
  <c r="D151" i="11"/>
  <c r="I150" i="11"/>
  <c r="I149" i="11"/>
  <c r="I148" i="11"/>
  <c r="I144" i="11"/>
  <c r="F137" i="11"/>
  <c r="E137" i="11"/>
  <c r="D137" i="11"/>
  <c r="G136" i="11"/>
  <c r="G135" i="11"/>
  <c r="G134" i="11"/>
  <c r="G133" i="11"/>
  <c r="G132" i="11"/>
  <c r="G131" i="11"/>
  <c r="L127" i="11"/>
  <c r="K127" i="11"/>
  <c r="I127" i="11"/>
  <c r="H127" i="11"/>
  <c r="G127" i="11"/>
  <c r="F127" i="11"/>
  <c r="E127" i="11"/>
  <c r="D127" i="11"/>
  <c r="L116" i="11"/>
  <c r="K116" i="11"/>
  <c r="I116" i="11"/>
  <c r="H116" i="11"/>
  <c r="G116" i="11"/>
  <c r="F116" i="11"/>
  <c r="E116" i="11"/>
  <c r="D116" i="11"/>
  <c r="M105" i="11"/>
  <c r="L105" i="11"/>
  <c r="K105" i="11"/>
  <c r="J105" i="11"/>
  <c r="I105" i="11"/>
  <c r="H105" i="11"/>
  <c r="G105" i="11"/>
  <c r="F105" i="11"/>
  <c r="D105" i="11"/>
  <c r="E100" i="11"/>
  <c r="E105" i="11" s="1"/>
  <c r="K92" i="11"/>
  <c r="J92" i="11"/>
  <c r="I92" i="11"/>
  <c r="H92" i="11"/>
  <c r="G92" i="11"/>
  <c r="F92" i="11"/>
  <c r="E92" i="11"/>
  <c r="D92" i="11"/>
  <c r="N79" i="11"/>
  <c r="M79" i="11"/>
  <c r="J79" i="11"/>
  <c r="F79" i="11"/>
  <c r="E79" i="11"/>
  <c r="G78" i="11"/>
  <c r="G77" i="11"/>
  <c r="G76" i="11"/>
  <c r="O75" i="11"/>
  <c r="L75" i="11"/>
  <c r="L79" i="11" s="1"/>
  <c r="K75" i="11"/>
  <c r="K79" i="11" s="1"/>
  <c r="I75" i="11"/>
  <c r="H75" i="11"/>
  <c r="D75" i="11"/>
  <c r="G75" i="11" s="1"/>
  <c r="O74" i="11"/>
  <c r="I74" i="11"/>
  <c r="I79" i="11" s="1"/>
  <c r="D74" i="11"/>
  <c r="G74" i="11" s="1"/>
  <c r="G72" i="11"/>
  <c r="K69" i="11"/>
  <c r="I69" i="11"/>
  <c r="H69" i="11"/>
  <c r="G69" i="11"/>
  <c r="F69" i="11"/>
  <c r="E69" i="11"/>
  <c r="L64" i="11"/>
  <c r="L69" i="11" s="1"/>
  <c r="K58" i="11"/>
  <c r="J58" i="11"/>
  <c r="I58" i="11"/>
  <c r="H58" i="11"/>
  <c r="G58" i="11"/>
  <c r="F58" i="11"/>
  <c r="E58" i="11"/>
  <c r="D58" i="11"/>
  <c r="E47" i="11"/>
  <c r="D47" i="11"/>
  <c r="E35" i="11"/>
  <c r="G34" i="11"/>
  <c r="G33" i="11"/>
  <c r="G32" i="11"/>
  <c r="G31" i="11"/>
  <c r="F30" i="11"/>
  <c r="D30" i="11"/>
  <c r="D35" i="11" s="1"/>
  <c r="G29" i="11"/>
  <c r="G28" i="11"/>
  <c r="N24" i="11"/>
  <c r="M24" i="11"/>
  <c r="J24" i="11"/>
  <c r="H24" i="11"/>
  <c r="F24" i="11"/>
  <c r="E24" i="11"/>
  <c r="D24" i="11"/>
  <c r="G23" i="11"/>
  <c r="G22" i="11"/>
  <c r="G21" i="11"/>
  <c r="G20" i="11"/>
  <c r="O19" i="11"/>
  <c r="O24" i="11" s="1"/>
  <c r="L19" i="11"/>
  <c r="L24" i="11" s="1"/>
  <c r="K19" i="11"/>
  <c r="K24" i="11" s="1"/>
  <c r="I19" i="11"/>
  <c r="I24" i="11" s="1"/>
  <c r="G19" i="11"/>
  <c r="G18" i="11"/>
  <c r="G17" i="11"/>
  <c r="G79" i="11" l="1"/>
  <c r="G185" i="11"/>
  <c r="M185" i="11"/>
  <c r="D79" i="11"/>
  <c r="G24" i="11"/>
  <c r="I196" i="11"/>
  <c r="D64" i="11"/>
  <c r="D69" i="11" s="1"/>
  <c r="G30" i="11"/>
  <c r="G162" i="11"/>
  <c r="K172" i="11"/>
  <c r="E219" i="11"/>
  <c r="O79" i="11"/>
  <c r="G137" i="11"/>
  <c r="I151" i="11"/>
  <c r="J172" i="11"/>
  <c r="D185" i="11"/>
  <c r="F35" i="11"/>
  <c r="G35" i="11" s="1"/>
  <c r="G191" i="11"/>
  <c r="G196" i="11" s="1"/>
  <c r="I219" i="10" l="1"/>
  <c r="H219" i="10"/>
  <c r="G219" i="10"/>
  <c r="F219" i="10"/>
  <c r="E219" i="10"/>
  <c r="D219" i="10"/>
  <c r="F213" i="10"/>
  <c r="E213" i="10"/>
  <c r="D213" i="10"/>
  <c r="L209" i="10"/>
  <c r="K209" i="10"/>
  <c r="J209" i="10"/>
  <c r="I209" i="10"/>
  <c r="H209" i="10"/>
  <c r="G209" i="10"/>
  <c r="F209" i="10"/>
  <c r="E209" i="10"/>
  <c r="D209" i="10"/>
  <c r="L196" i="10"/>
  <c r="K196" i="10"/>
  <c r="J196" i="10"/>
  <c r="I196" i="10"/>
  <c r="H196" i="10"/>
  <c r="F196" i="10"/>
  <c r="E196" i="10"/>
  <c r="D196" i="10"/>
  <c r="G195" i="10"/>
  <c r="G194" i="10"/>
  <c r="G193" i="10"/>
  <c r="G192" i="10"/>
  <c r="G191" i="10"/>
  <c r="G190" i="10"/>
  <c r="G189" i="10"/>
  <c r="G196" i="10" s="1"/>
  <c r="O185" i="10"/>
  <c r="N185" i="10"/>
  <c r="M185" i="10"/>
  <c r="L185" i="10"/>
  <c r="K185" i="10"/>
  <c r="J185" i="10"/>
  <c r="I185" i="10"/>
  <c r="H185" i="10"/>
  <c r="F185" i="10"/>
  <c r="E185" i="10"/>
  <c r="D185" i="10"/>
  <c r="G184" i="10"/>
  <c r="G183" i="10"/>
  <c r="G182" i="10"/>
  <c r="G181" i="10"/>
  <c r="G180" i="10"/>
  <c r="G179" i="10"/>
  <c r="G178" i="10"/>
  <c r="G185" i="10" s="1"/>
  <c r="I172" i="10"/>
  <c r="H172" i="10"/>
  <c r="G172" i="10"/>
  <c r="F172" i="10"/>
  <c r="E172" i="10"/>
  <c r="D172" i="10"/>
  <c r="K171" i="10"/>
  <c r="J171" i="10"/>
  <c r="K170" i="10"/>
  <c r="J170" i="10"/>
  <c r="K169" i="10"/>
  <c r="J169" i="10"/>
  <c r="K168" i="10"/>
  <c r="J168" i="10"/>
  <c r="K167" i="10"/>
  <c r="J167" i="10"/>
  <c r="K166" i="10"/>
  <c r="J166" i="10"/>
  <c r="K165" i="10"/>
  <c r="K172" i="10" s="1"/>
  <c r="J165" i="10"/>
  <c r="J172" i="10" s="1"/>
  <c r="J162" i="10"/>
  <c r="I162" i="10"/>
  <c r="H162" i="10"/>
  <c r="F162" i="10"/>
  <c r="E162" i="10"/>
  <c r="D162" i="10"/>
  <c r="G161" i="10"/>
  <c r="G160" i="10"/>
  <c r="G159" i="10"/>
  <c r="G158" i="10"/>
  <c r="G157" i="10"/>
  <c r="G156" i="10"/>
  <c r="G155" i="10"/>
  <c r="G162" i="10" s="1"/>
  <c r="N151" i="10"/>
  <c r="M151" i="10"/>
  <c r="L151" i="10"/>
  <c r="K151" i="10"/>
  <c r="J151" i="10"/>
  <c r="H151" i="10"/>
  <c r="G151" i="10"/>
  <c r="F151" i="10"/>
  <c r="E151" i="10"/>
  <c r="D151" i="10"/>
  <c r="I150" i="10"/>
  <c r="I149" i="10"/>
  <c r="I148" i="10"/>
  <c r="I147" i="10"/>
  <c r="I146" i="10"/>
  <c r="I145" i="10"/>
  <c r="I144" i="10"/>
  <c r="I151" i="10" s="1"/>
  <c r="F137" i="10"/>
  <c r="E137" i="10"/>
  <c r="D137" i="10"/>
  <c r="G136" i="10"/>
  <c r="G135" i="10"/>
  <c r="G134" i="10"/>
  <c r="G133" i="10"/>
  <c r="G132" i="10"/>
  <c r="G131" i="10"/>
  <c r="G137" i="10" s="1"/>
  <c r="L127" i="10"/>
  <c r="K127" i="10"/>
  <c r="I127" i="10"/>
  <c r="H127" i="10"/>
  <c r="G127" i="10"/>
  <c r="F127" i="10"/>
  <c r="E127" i="10"/>
  <c r="D127" i="10"/>
  <c r="L116" i="10"/>
  <c r="K116" i="10"/>
  <c r="I116" i="10"/>
  <c r="H116" i="10"/>
  <c r="G116" i="10"/>
  <c r="F116" i="10"/>
  <c r="E116" i="10"/>
  <c r="D116" i="10"/>
  <c r="M105" i="10"/>
  <c r="L105" i="10"/>
  <c r="K105" i="10"/>
  <c r="J105" i="10"/>
  <c r="I105" i="10"/>
  <c r="H105" i="10"/>
  <c r="G105" i="10"/>
  <c r="F105" i="10"/>
  <c r="E105" i="10"/>
  <c r="D105" i="10"/>
  <c r="K92" i="10"/>
  <c r="J92" i="10"/>
  <c r="I92" i="10"/>
  <c r="H92" i="10"/>
  <c r="G92" i="10"/>
  <c r="F92" i="10"/>
  <c r="E92" i="10"/>
  <c r="D92" i="10"/>
  <c r="O79" i="10"/>
  <c r="N79" i="10"/>
  <c r="M79" i="10"/>
  <c r="L79" i="10"/>
  <c r="K79" i="10"/>
  <c r="J79" i="10"/>
  <c r="I79" i="10"/>
  <c r="F79" i="10"/>
  <c r="E79" i="10"/>
  <c r="D79" i="10"/>
  <c r="G78" i="10"/>
  <c r="G77" i="10"/>
  <c r="G76" i="10"/>
  <c r="G75" i="10"/>
  <c r="G74" i="10"/>
  <c r="G73" i="10"/>
  <c r="G72" i="10"/>
  <c r="G79" i="10" s="1"/>
  <c r="L69" i="10"/>
  <c r="K69" i="10"/>
  <c r="I69" i="10"/>
  <c r="H69" i="10"/>
  <c r="G69" i="10"/>
  <c r="F69" i="10"/>
  <c r="E69" i="10"/>
  <c r="D69" i="10"/>
  <c r="K58" i="10"/>
  <c r="J58" i="10"/>
  <c r="I58" i="10"/>
  <c r="H58" i="10"/>
  <c r="G58" i="10"/>
  <c r="F58" i="10"/>
  <c r="E58" i="10"/>
  <c r="D58" i="10"/>
  <c r="E47" i="10"/>
  <c r="D47" i="10"/>
  <c r="F35" i="10"/>
  <c r="E35" i="10"/>
  <c r="G35" i="10" s="1"/>
  <c r="D35" i="10"/>
  <c r="G34" i="10"/>
  <c r="G33" i="10"/>
  <c r="G32" i="10"/>
  <c r="G31" i="10"/>
  <c r="G30" i="10"/>
  <c r="G29" i="10"/>
  <c r="G28" i="10"/>
  <c r="O24" i="10"/>
  <c r="N24" i="10"/>
  <c r="M24" i="10"/>
  <c r="L24" i="10"/>
  <c r="K24" i="10"/>
  <c r="J24" i="10"/>
  <c r="I24" i="10"/>
  <c r="H24" i="10"/>
  <c r="F24" i="10"/>
  <c r="E24" i="10"/>
  <c r="D24" i="10"/>
  <c r="G24" i="10" s="1"/>
  <c r="G23" i="10"/>
  <c r="G22" i="10"/>
  <c r="G21" i="10"/>
  <c r="G20" i="10"/>
  <c r="G19" i="10"/>
  <c r="G18" i="10"/>
  <c r="G17" i="10"/>
  <c r="I219" i="9" l="1"/>
  <c r="H219" i="9"/>
  <c r="G219" i="9"/>
  <c r="F219" i="9"/>
  <c r="E219" i="9"/>
  <c r="D219" i="9"/>
  <c r="F213" i="9"/>
  <c r="E213" i="9"/>
  <c r="D213" i="9"/>
  <c r="D222" i="9" s="1"/>
  <c r="L209" i="9"/>
  <c r="K209" i="9"/>
  <c r="J209" i="9"/>
  <c r="I209" i="9"/>
  <c r="H209" i="9"/>
  <c r="G209" i="9"/>
  <c r="F209" i="9"/>
  <c r="E209" i="9"/>
  <c r="D209" i="9"/>
  <c r="L196" i="9"/>
  <c r="K196" i="9"/>
  <c r="J196" i="9"/>
  <c r="I196" i="9"/>
  <c r="H196" i="9"/>
  <c r="F196" i="9"/>
  <c r="E196" i="9"/>
  <c r="D196" i="9"/>
  <c r="G195" i="9"/>
  <c r="G194" i="9"/>
  <c r="G193" i="9"/>
  <c r="G192" i="9"/>
  <c r="G191" i="9"/>
  <c r="G190" i="9"/>
  <c r="G189" i="9"/>
  <c r="G196" i="9" s="1"/>
  <c r="O185" i="9"/>
  <c r="N185" i="9"/>
  <c r="M185" i="9"/>
  <c r="L185" i="9"/>
  <c r="K185" i="9"/>
  <c r="J185" i="9"/>
  <c r="I185" i="9"/>
  <c r="H185" i="9"/>
  <c r="F185" i="9"/>
  <c r="E185" i="9"/>
  <c r="D185" i="9"/>
  <c r="G184" i="9"/>
  <c r="G183" i="9"/>
  <c r="G182" i="9"/>
  <c r="G181" i="9"/>
  <c r="G180" i="9"/>
  <c r="G185" i="9" s="1"/>
  <c r="G179" i="9"/>
  <c r="G178" i="9"/>
  <c r="I172" i="9"/>
  <c r="H172" i="9"/>
  <c r="G172" i="9"/>
  <c r="F172" i="9"/>
  <c r="E172" i="9"/>
  <c r="D172" i="9"/>
  <c r="K171" i="9"/>
  <c r="J171" i="9"/>
  <c r="K170" i="9"/>
  <c r="J170" i="9"/>
  <c r="K169" i="9"/>
  <c r="J169" i="9"/>
  <c r="K168" i="9"/>
  <c r="J168" i="9"/>
  <c r="K167" i="9"/>
  <c r="J167" i="9"/>
  <c r="K166" i="9"/>
  <c r="J166" i="9"/>
  <c r="K165" i="9"/>
  <c r="K172" i="9" s="1"/>
  <c r="J165" i="9"/>
  <c r="J172" i="9" s="1"/>
  <c r="J162" i="9"/>
  <c r="I162" i="9"/>
  <c r="H162" i="9"/>
  <c r="F162" i="9"/>
  <c r="E162" i="9"/>
  <c r="D162" i="9"/>
  <c r="G161" i="9"/>
  <c r="G160" i="9"/>
  <c r="G159" i="9"/>
  <c r="G158" i="9"/>
  <c r="G157" i="9"/>
  <c r="G162" i="9" s="1"/>
  <c r="G156" i="9"/>
  <c r="G155" i="9"/>
  <c r="N151" i="9"/>
  <c r="M151" i="9"/>
  <c r="L151" i="9"/>
  <c r="K151" i="9"/>
  <c r="J151" i="9"/>
  <c r="H151" i="9"/>
  <c r="G151" i="9"/>
  <c r="F151" i="9"/>
  <c r="E151" i="9"/>
  <c r="D151" i="9"/>
  <c r="I150" i="9"/>
  <c r="I149" i="9"/>
  <c r="I148" i="9"/>
  <c r="I147" i="9"/>
  <c r="I146" i="9"/>
  <c r="I145" i="9"/>
  <c r="I144" i="9"/>
  <c r="I151" i="9" s="1"/>
  <c r="F137" i="9"/>
  <c r="E137" i="9"/>
  <c r="D137" i="9"/>
  <c r="G136" i="9"/>
  <c r="G135" i="9"/>
  <c r="G134" i="9"/>
  <c r="G133" i="9"/>
  <c r="G132" i="9"/>
  <c r="G131" i="9"/>
  <c r="G137" i="9" s="1"/>
  <c r="L127" i="9"/>
  <c r="K127" i="9"/>
  <c r="I127" i="9"/>
  <c r="H127" i="9"/>
  <c r="G127" i="9"/>
  <c r="F127" i="9"/>
  <c r="E127" i="9"/>
  <c r="D127" i="9"/>
  <c r="L116" i="9"/>
  <c r="K116" i="9"/>
  <c r="I116" i="9"/>
  <c r="H116" i="9"/>
  <c r="G116" i="9"/>
  <c r="F116" i="9"/>
  <c r="E116" i="9"/>
  <c r="D116" i="9"/>
  <c r="M105" i="9"/>
  <c r="L105" i="9"/>
  <c r="K105" i="9"/>
  <c r="J105" i="9"/>
  <c r="I105" i="9"/>
  <c r="H105" i="9"/>
  <c r="G105" i="9"/>
  <c r="F105" i="9"/>
  <c r="E105" i="9"/>
  <c r="D105" i="9"/>
  <c r="K92" i="9"/>
  <c r="J92" i="9"/>
  <c r="I92" i="9"/>
  <c r="H92" i="9"/>
  <c r="G92" i="9"/>
  <c r="F92" i="9"/>
  <c r="E92" i="9"/>
  <c r="D92" i="9"/>
  <c r="O79" i="9"/>
  <c r="N79" i="9"/>
  <c r="M79" i="9"/>
  <c r="L79" i="9"/>
  <c r="K79" i="9"/>
  <c r="J79" i="9"/>
  <c r="I79" i="9"/>
  <c r="F79" i="9"/>
  <c r="E79" i="9"/>
  <c r="D79" i="9"/>
  <c r="G78" i="9"/>
  <c r="G77" i="9"/>
  <c r="G76" i="9"/>
  <c r="G75" i="9"/>
  <c r="G74" i="9"/>
  <c r="G79" i="9" s="1"/>
  <c r="G73" i="9"/>
  <c r="G72" i="9"/>
  <c r="L69" i="9"/>
  <c r="K69" i="9"/>
  <c r="I69" i="9"/>
  <c r="H69" i="9"/>
  <c r="G69" i="9"/>
  <c r="F69" i="9"/>
  <c r="E69" i="9"/>
  <c r="D69" i="9"/>
  <c r="K58" i="9"/>
  <c r="J58" i="9"/>
  <c r="I58" i="9"/>
  <c r="H58" i="9"/>
  <c r="G58" i="9"/>
  <c r="F58" i="9"/>
  <c r="E58" i="9"/>
  <c r="D58" i="9"/>
  <c r="E47" i="9"/>
  <c r="D47" i="9"/>
  <c r="F35" i="9"/>
  <c r="E35" i="9"/>
  <c r="D35" i="9"/>
  <c r="G35" i="9" s="1"/>
  <c r="G34" i="9"/>
  <c r="G33" i="9"/>
  <c r="G32" i="9"/>
  <c r="G31" i="9"/>
  <c r="G30" i="9"/>
  <c r="G29" i="9"/>
  <c r="G28" i="9"/>
  <c r="O24" i="9"/>
  <c r="N24" i="9"/>
  <c r="M24" i="9"/>
  <c r="L24" i="9"/>
  <c r="K24" i="9"/>
  <c r="J24" i="9"/>
  <c r="I24" i="9"/>
  <c r="H24" i="9"/>
  <c r="G24" i="9"/>
  <c r="F24" i="9"/>
  <c r="E24" i="9"/>
  <c r="D24" i="9"/>
  <c r="G23" i="9"/>
  <c r="G22" i="9"/>
  <c r="G21" i="9"/>
  <c r="G20" i="9"/>
  <c r="G19" i="9"/>
  <c r="G18" i="9"/>
  <c r="G17" i="9"/>
  <c r="I219" i="8" l="1"/>
  <c r="H219" i="8"/>
  <c r="G219" i="8"/>
  <c r="F219" i="8"/>
  <c r="D219" i="8"/>
  <c r="F213" i="8"/>
  <c r="E213" i="8"/>
  <c r="E219" i="8" s="1"/>
  <c r="D213" i="8"/>
  <c r="L209" i="8"/>
  <c r="K209" i="8"/>
  <c r="J209" i="8"/>
  <c r="I209" i="8"/>
  <c r="H209" i="8"/>
  <c r="G209" i="8"/>
  <c r="F209" i="8"/>
  <c r="E209" i="8"/>
  <c r="D209" i="8"/>
  <c r="L196" i="8"/>
  <c r="K196" i="8"/>
  <c r="J196" i="8"/>
  <c r="I196" i="8"/>
  <c r="H196" i="8"/>
  <c r="F196" i="8"/>
  <c r="E196" i="8"/>
  <c r="D196" i="8"/>
  <c r="G195" i="8"/>
  <c r="G194" i="8"/>
  <c r="G193" i="8"/>
  <c r="G192" i="8"/>
  <c r="G191" i="8"/>
  <c r="G196" i="8" s="1"/>
  <c r="G190" i="8"/>
  <c r="G189" i="8"/>
  <c r="O185" i="8"/>
  <c r="N185" i="8"/>
  <c r="M185" i="8"/>
  <c r="L185" i="8"/>
  <c r="K185" i="8"/>
  <c r="J185" i="8"/>
  <c r="I185" i="8"/>
  <c r="H185" i="8"/>
  <c r="F185" i="8"/>
  <c r="E185" i="8"/>
  <c r="D185" i="8"/>
  <c r="G184" i="8"/>
  <c r="G183" i="8"/>
  <c r="G182" i="8"/>
  <c r="G181" i="8"/>
  <c r="G180" i="8"/>
  <c r="G179" i="8"/>
  <c r="G178" i="8"/>
  <c r="G185" i="8" s="1"/>
  <c r="I172" i="8"/>
  <c r="H172" i="8"/>
  <c r="G172" i="8"/>
  <c r="F172" i="8"/>
  <c r="E172" i="8"/>
  <c r="D172" i="8"/>
  <c r="K171" i="8"/>
  <c r="J171" i="8"/>
  <c r="K170" i="8"/>
  <c r="J170" i="8"/>
  <c r="K169" i="8"/>
  <c r="J169" i="8"/>
  <c r="K168" i="8"/>
  <c r="J168" i="8"/>
  <c r="K167" i="8"/>
  <c r="J167" i="8"/>
  <c r="K166" i="8"/>
  <c r="J166" i="8"/>
  <c r="K165" i="8"/>
  <c r="K172" i="8" s="1"/>
  <c r="J165" i="8"/>
  <c r="J172" i="8" s="1"/>
  <c r="J162" i="8"/>
  <c r="I162" i="8"/>
  <c r="H162" i="8"/>
  <c r="F162" i="8"/>
  <c r="E162" i="8"/>
  <c r="D162" i="8"/>
  <c r="G161" i="8"/>
  <c r="G160" i="8"/>
  <c r="G159" i="8"/>
  <c r="G158" i="8"/>
  <c r="G157" i="8"/>
  <c r="G156" i="8"/>
  <c r="G155" i="8"/>
  <c r="G162" i="8" s="1"/>
  <c r="N151" i="8"/>
  <c r="M151" i="8"/>
  <c r="L151" i="8"/>
  <c r="K151" i="8"/>
  <c r="J151" i="8"/>
  <c r="H151" i="8"/>
  <c r="G151" i="8"/>
  <c r="F151" i="8"/>
  <c r="E151" i="8"/>
  <c r="D151" i="8"/>
  <c r="I150" i="8"/>
  <c r="I149" i="8"/>
  <c r="I148" i="8"/>
  <c r="I147" i="8"/>
  <c r="I146" i="8"/>
  <c r="I145" i="8"/>
  <c r="I144" i="8"/>
  <c r="I151" i="8" s="1"/>
  <c r="F137" i="8"/>
  <c r="E137" i="8"/>
  <c r="D137" i="8"/>
  <c r="G136" i="8"/>
  <c r="G135" i="8"/>
  <c r="G134" i="8"/>
  <c r="G133" i="8"/>
  <c r="G132" i="8"/>
  <c r="G137" i="8" s="1"/>
  <c r="G131" i="8"/>
  <c r="L127" i="8"/>
  <c r="K127" i="8"/>
  <c r="I127" i="8"/>
  <c r="H127" i="8"/>
  <c r="G127" i="8"/>
  <c r="F127" i="8"/>
  <c r="E127" i="8"/>
  <c r="D127" i="8"/>
  <c r="L116" i="8"/>
  <c r="K116" i="8"/>
  <c r="I116" i="8"/>
  <c r="H116" i="8"/>
  <c r="G116" i="8"/>
  <c r="F116" i="8"/>
  <c r="E116" i="8"/>
  <c r="D116" i="8"/>
  <c r="M105" i="8"/>
  <c r="L105" i="8"/>
  <c r="K105" i="8"/>
  <c r="J105" i="8"/>
  <c r="I105" i="8"/>
  <c r="H105" i="8"/>
  <c r="G105" i="8"/>
  <c r="F105" i="8"/>
  <c r="E105" i="8"/>
  <c r="D105" i="8"/>
  <c r="K92" i="8"/>
  <c r="J92" i="8"/>
  <c r="I92" i="8"/>
  <c r="H92" i="8"/>
  <c r="G92" i="8"/>
  <c r="F92" i="8"/>
  <c r="E92" i="8"/>
  <c r="D92" i="8"/>
  <c r="O79" i="8"/>
  <c r="N79" i="8"/>
  <c r="M79" i="8"/>
  <c r="L79" i="8"/>
  <c r="K79" i="8"/>
  <c r="J79" i="8"/>
  <c r="I79" i="8"/>
  <c r="F79" i="8"/>
  <c r="E79" i="8"/>
  <c r="D79" i="8"/>
  <c r="G78" i="8"/>
  <c r="G77" i="8"/>
  <c r="G76" i="8"/>
  <c r="G75" i="8"/>
  <c r="G74" i="8"/>
  <c r="G73" i="8"/>
  <c r="G72" i="8"/>
  <c r="G79" i="8" s="1"/>
  <c r="L69" i="8"/>
  <c r="K69" i="8"/>
  <c r="I69" i="8"/>
  <c r="H69" i="8"/>
  <c r="G69" i="8"/>
  <c r="F69" i="8"/>
  <c r="E69" i="8"/>
  <c r="D69" i="8"/>
  <c r="K58" i="8"/>
  <c r="J58" i="8"/>
  <c r="I58" i="8"/>
  <c r="H58" i="8"/>
  <c r="G58" i="8"/>
  <c r="F58" i="8"/>
  <c r="E58" i="8"/>
  <c r="D58" i="8"/>
  <c r="E47" i="8"/>
  <c r="D47" i="8"/>
  <c r="F35" i="8"/>
  <c r="E35" i="8"/>
  <c r="G35" i="8" s="1"/>
  <c r="D35" i="8"/>
  <c r="G34" i="8"/>
  <c r="G33" i="8"/>
  <c r="G32" i="8"/>
  <c r="G31" i="8"/>
  <c r="G30" i="8"/>
  <c r="G29" i="8"/>
  <c r="G28" i="8"/>
  <c r="O24" i="8"/>
  <c r="N24" i="8"/>
  <c r="M24" i="8"/>
  <c r="L24" i="8"/>
  <c r="K24" i="8"/>
  <c r="J24" i="8"/>
  <c r="I24" i="8"/>
  <c r="H24" i="8"/>
  <c r="F24" i="8"/>
  <c r="E24" i="8"/>
  <c r="D24" i="8"/>
  <c r="G24" i="8" s="1"/>
  <c r="G23" i="8"/>
  <c r="G22" i="8"/>
  <c r="G21" i="8"/>
  <c r="G20" i="8"/>
  <c r="G19" i="8"/>
  <c r="G18" i="8"/>
  <c r="G17" i="8"/>
  <c r="I219" i="7" l="1"/>
  <c r="H219" i="7"/>
  <c r="G219" i="7"/>
  <c r="F219" i="7"/>
  <c r="D219" i="7"/>
  <c r="F218" i="7"/>
  <c r="E218" i="7"/>
  <c r="F216" i="7"/>
  <c r="E214" i="7"/>
  <c r="E219" i="7" s="1"/>
  <c r="D214" i="7"/>
  <c r="F213" i="7"/>
  <c r="D213" i="7"/>
  <c r="L209" i="7"/>
  <c r="K209" i="7"/>
  <c r="J209" i="7"/>
  <c r="I209" i="7"/>
  <c r="H209" i="7"/>
  <c r="G209" i="7"/>
  <c r="F209" i="7"/>
  <c r="E209" i="7"/>
  <c r="D209" i="7"/>
  <c r="L196" i="7"/>
  <c r="K196" i="7"/>
  <c r="J196" i="7"/>
  <c r="I196" i="7"/>
  <c r="H196" i="7"/>
  <c r="E196" i="7"/>
  <c r="D196" i="7"/>
  <c r="G195" i="7"/>
  <c r="G194" i="7"/>
  <c r="G193" i="7"/>
  <c r="G192" i="7"/>
  <c r="F192" i="7"/>
  <c r="F196" i="7" s="1"/>
  <c r="G191" i="7"/>
  <c r="G190" i="7"/>
  <c r="G189" i="7"/>
  <c r="G196" i="7" s="1"/>
  <c r="O185" i="7"/>
  <c r="N185" i="7"/>
  <c r="M185" i="7"/>
  <c r="L185" i="7"/>
  <c r="K185" i="7"/>
  <c r="J185" i="7"/>
  <c r="I185" i="7"/>
  <c r="H185" i="7"/>
  <c r="F185" i="7"/>
  <c r="E185" i="7"/>
  <c r="D185" i="7"/>
  <c r="G184" i="7"/>
  <c r="G183" i="7"/>
  <c r="G182" i="7"/>
  <c r="G181" i="7"/>
  <c r="L180" i="7"/>
  <c r="H180" i="7"/>
  <c r="G180" i="7"/>
  <c r="G179" i="7"/>
  <c r="G178" i="7"/>
  <c r="G185" i="7" s="1"/>
  <c r="I172" i="7"/>
  <c r="H172" i="7"/>
  <c r="G172" i="7"/>
  <c r="F172" i="7"/>
  <c r="E172" i="7"/>
  <c r="D172" i="7"/>
  <c r="K171" i="7"/>
  <c r="J171" i="7"/>
  <c r="K170" i="7"/>
  <c r="J170" i="7"/>
  <c r="K169" i="7"/>
  <c r="J169" i="7"/>
  <c r="K168" i="7"/>
  <c r="J168" i="7"/>
  <c r="K167" i="7"/>
  <c r="J167" i="7"/>
  <c r="K166" i="7"/>
  <c r="J166" i="7"/>
  <c r="K165" i="7"/>
  <c r="K172" i="7" s="1"/>
  <c r="J165" i="7"/>
  <c r="J172" i="7" s="1"/>
  <c r="J162" i="7"/>
  <c r="I162" i="7"/>
  <c r="H162" i="7"/>
  <c r="F162" i="7"/>
  <c r="E162" i="7"/>
  <c r="D162" i="7"/>
  <c r="G161" i="7"/>
  <c r="G160" i="7"/>
  <c r="G159" i="7"/>
  <c r="G158" i="7"/>
  <c r="G157" i="7"/>
  <c r="G156" i="7"/>
  <c r="G155" i="7"/>
  <c r="G162" i="7" s="1"/>
  <c r="N151" i="7"/>
  <c r="M151" i="7"/>
  <c r="L151" i="7"/>
  <c r="K151" i="7"/>
  <c r="J151" i="7"/>
  <c r="H151" i="7"/>
  <c r="G151" i="7"/>
  <c r="F151" i="7"/>
  <c r="E151" i="7"/>
  <c r="D151" i="7"/>
  <c r="I150" i="7"/>
  <c r="I149" i="7"/>
  <c r="I148" i="7"/>
  <c r="I147" i="7"/>
  <c r="I146" i="7"/>
  <c r="I145" i="7"/>
  <c r="I144" i="7"/>
  <c r="I151" i="7" s="1"/>
  <c r="F137" i="7"/>
  <c r="E137" i="7"/>
  <c r="G136" i="7"/>
  <c r="G135" i="7"/>
  <c r="G134" i="7"/>
  <c r="D133" i="7"/>
  <c r="D137" i="7" s="1"/>
  <c r="G132" i="7"/>
  <c r="G131" i="7"/>
  <c r="L127" i="7"/>
  <c r="K127" i="7"/>
  <c r="I127" i="7"/>
  <c r="H127" i="7"/>
  <c r="G127" i="7"/>
  <c r="F127" i="7"/>
  <c r="E127" i="7"/>
  <c r="D127" i="7"/>
  <c r="L116" i="7"/>
  <c r="K116" i="7"/>
  <c r="I116" i="7"/>
  <c r="H116" i="7"/>
  <c r="G116" i="7"/>
  <c r="F116" i="7"/>
  <c r="E116" i="7"/>
  <c r="D116" i="7"/>
  <c r="M105" i="7"/>
  <c r="L105" i="7"/>
  <c r="K105" i="7"/>
  <c r="J105" i="7"/>
  <c r="I105" i="7"/>
  <c r="H105" i="7"/>
  <c r="G105" i="7"/>
  <c r="F105" i="7"/>
  <c r="E105" i="7"/>
  <c r="D105" i="7"/>
  <c r="K92" i="7"/>
  <c r="J92" i="7"/>
  <c r="I92" i="7"/>
  <c r="H92" i="7"/>
  <c r="G92" i="7"/>
  <c r="F92" i="7"/>
  <c r="E92" i="7"/>
  <c r="D92" i="7"/>
  <c r="O79" i="7"/>
  <c r="N79" i="7"/>
  <c r="M79" i="7"/>
  <c r="L79" i="7"/>
  <c r="J79" i="7"/>
  <c r="I79" i="7"/>
  <c r="F79" i="7"/>
  <c r="E79" i="7"/>
  <c r="D79" i="7"/>
  <c r="G78" i="7"/>
  <c r="G79" i="7" s="1"/>
  <c r="G77" i="7"/>
  <c r="G76" i="7"/>
  <c r="G75" i="7"/>
  <c r="K74" i="7"/>
  <c r="K79" i="7" s="1"/>
  <c r="G74" i="7"/>
  <c r="G73" i="7"/>
  <c r="G72" i="7"/>
  <c r="K69" i="7"/>
  <c r="I69" i="7"/>
  <c r="H69" i="7"/>
  <c r="G69" i="7"/>
  <c r="F69" i="7"/>
  <c r="E69" i="7"/>
  <c r="L65" i="7"/>
  <c r="L69" i="7" s="1"/>
  <c r="D65" i="7"/>
  <c r="L64" i="7"/>
  <c r="D64" i="7"/>
  <c r="D69" i="7" s="1"/>
  <c r="K58" i="7"/>
  <c r="J58" i="7"/>
  <c r="I58" i="7"/>
  <c r="H58" i="7"/>
  <c r="G58" i="7"/>
  <c r="F58" i="7"/>
  <c r="E58" i="7"/>
  <c r="D58" i="7"/>
  <c r="E47" i="7"/>
  <c r="D47" i="7"/>
  <c r="E35" i="7"/>
  <c r="G34" i="7"/>
  <c r="G33" i="7"/>
  <c r="G32" i="7"/>
  <c r="F31" i="7"/>
  <c r="F35" i="7" s="1"/>
  <c r="E31" i="7"/>
  <c r="D31" i="7"/>
  <c r="D35" i="7" s="1"/>
  <c r="G30" i="7"/>
  <c r="G29" i="7"/>
  <c r="G28" i="7"/>
  <c r="O24" i="7"/>
  <c r="N24" i="7"/>
  <c r="M24" i="7"/>
  <c r="J24" i="7"/>
  <c r="H24" i="7"/>
  <c r="F24" i="7"/>
  <c r="G23" i="7"/>
  <c r="G22" i="7"/>
  <c r="G21" i="7"/>
  <c r="L20" i="7"/>
  <c r="L24" i="7" s="1"/>
  <c r="K20" i="7"/>
  <c r="K24" i="7" s="1"/>
  <c r="I20" i="7"/>
  <c r="I24" i="7" s="1"/>
  <c r="F20" i="7"/>
  <c r="E20" i="7"/>
  <c r="E24" i="7" s="1"/>
  <c r="D20" i="7"/>
  <c r="G20" i="7" s="1"/>
  <c r="G19" i="7"/>
  <c r="G18" i="7"/>
  <c r="G17" i="7"/>
  <c r="G35" i="7" l="1"/>
  <c r="D24" i="7"/>
  <c r="G24" i="7" s="1"/>
  <c r="G133" i="7"/>
  <c r="G137" i="7" s="1"/>
  <c r="G31" i="7"/>
  <c r="E213" i="7"/>
  <c r="I219" i="6" l="1"/>
  <c r="H219" i="6"/>
  <c r="G219" i="6"/>
  <c r="D219" i="6"/>
  <c r="F218" i="6"/>
  <c r="F217" i="6"/>
  <c r="F213" i="6" s="1"/>
  <c r="F216" i="6"/>
  <c r="E216" i="6"/>
  <c r="F214" i="6"/>
  <c r="E214" i="6"/>
  <c r="E219" i="6" s="1"/>
  <c r="E213" i="6"/>
  <c r="D213" i="6"/>
  <c r="L209" i="6"/>
  <c r="K209" i="6"/>
  <c r="J209" i="6"/>
  <c r="I209" i="6"/>
  <c r="H209" i="6"/>
  <c r="G209" i="6"/>
  <c r="F209" i="6"/>
  <c r="E209" i="6"/>
  <c r="D209" i="6"/>
  <c r="K196" i="6"/>
  <c r="J196" i="6"/>
  <c r="I196" i="6"/>
  <c r="H196" i="6"/>
  <c r="F196" i="6"/>
  <c r="E196" i="6"/>
  <c r="G195" i="6"/>
  <c r="G194" i="6"/>
  <c r="G193" i="6"/>
  <c r="L192" i="6"/>
  <c r="G192" i="6"/>
  <c r="D192" i="6"/>
  <c r="L191" i="6"/>
  <c r="L196" i="6" s="1"/>
  <c r="D191" i="6"/>
  <c r="G191" i="6" s="1"/>
  <c r="D190" i="6"/>
  <c r="D196" i="6" s="1"/>
  <c r="G189" i="6"/>
  <c r="O185" i="6"/>
  <c r="N185" i="6"/>
  <c r="M185" i="6"/>
  <c r="K185" i="6"/>
  <c r="J185" i="6"/>
  <c r="H185" i="6"/>
  <c r="F185" i="6"/>
  <c r="E185" i="6"/>
  <c r="G184" i="6"/>
  <c r="G183" i="6"/>
  <c r="G182" i="6"/>
  <c r="L181" i="6"/>
  <c r="L185" i="6" s="1"/>
  <c r="I181" i="6"/>
  <c r="I185" i="6" s="1"/>
  <c r="H181" i="6"/>
  <c r="G181" i="6"/>
  <c r="D181" i="6"/>
  <c r="D185" i="6" s="1"/>
  <c r="G180" i="6"/>
  <c r="G185" i="6" s="1"/>
  <c r="G179" i="6"/>
  <c r="G178" i="6"/>
  <c r="I172" i="6"/>
  <c r="H172" i="6"/>
  <c r="G172" i="6"/>
  <c r="F172" i="6"/>
  <c r="E172" i="6"/>
  <c r="D172" i="6"/>
  <c r="K171" i="6"/>
  <c r="J171" i="6"/>
  <c r="K170" i="6"/>
  <c r="J170" i="6"/>
  <c r="K169" i="6"/>
  <c r="J169" i="6"/>
  <c r="K168" i="6"/>
  <c r="J168" i="6"/>
  <c r="K167" i="6"/>
  <c r="J167" i="6"/>
  <c r="K166" i="6"/>
  <c r="J166" i="6"/>
  <c r="K165" i="6"/>
  <c r="K172" i="6" s="1"/>
  <c r="J165" i="6"/>
  <c r="J172" i="6" s="1"/>
  <c r="J162" i="6"/>
  <c r="I162" i="6"/>
  <c r="H162" i="6"/>
  <c r="F162" i="6"/>
  <c r="E162" i="6"/>
  <c r="D162" i="6"/>
  <c r="G161" i="6"/>
  <c r="G160" i="6"/>
  <c r="G159" i="6"/>
  <c r="G158" i="6"/>
  <c r="G157" i="6"/>
  <c r="G162" i="6" s="1"/>
  <c r="G156" i="6"/>
  <c r="G155" i="6"/>
  <c r="N151" i="6"/>
  <c r="M151" i="6"/>
  <c r="L151" i="6"/>
  <c r="K151" i="6"/>
  <c r="J151" i="6"/>
  <c r="H151" i="6"/>
  <c r="G151" i="6"/>
  <c r="F151" i="6"/>
  <c r="E151" i="6"/>
  <c r="D151" i="6"/>
  <c r="I150" i="6"/>
  <c r="I149" i="6"/>
  <c r="I148" i="6"/>
  <c r="I147" i="6"/>
  <c r="I146" i="6"/>
  <c r="I145" i="6"/>
  <c r="I144" i="6"/>
  <c r="I151" i="6" s="1"/>
  <c r="F137" i="6"/>
  <c r="E137" i="6"/>
  <c r="D137" i="6"/>
  <c r="G136" i="6"/>
  <c r="G135" i="6"/>
  <c r="G134" i="6"/>
  <c r="G133" i="6"/>
  <c r="D133" i="6"/>
  <c r="G132" i="6"/>
  <c r="D132" i="6"/>
  <c r="G131" i="6"/>
  <c r="G137" i="6" s="1"/>
  <c r="L127" i="6"/>
  <c r="K127" i="6"/>
  <c r="I127" i="6"/>
  <c r="H127" i="6"/>
  <c r="G127" i="6"/>
  <c r="F127" i="6"/>
  <c r="E127" i="6"/>
  <c r="D127" i="6"/>
  <c r="L116" i="6"/>
  <c r="K116" i="6"/>
  <c r="I116" i="6"/>
  <c r="H116" i="6"/>
  <c r="G116" i="6"/>
  <c r="F116" i="6"/>
  <c r="E116" i="6"/>
  <c r="D116" i="6"/>
  <c r="M105" i="6"/>
  <c r="L105" i="6"/>
  <c r="K105" i="6"/>
  <c r="J105" i="6"/>
  <c r="I105" i="6"/>
  <c r="H105" i="6"/>
  <c r="G105" i="6"/>
  <c r="F105" i="6"/>
  <c r="D105" i="6"/>
  <c r="E101" i="6"/>
  <c r="E105" i="6" s="1"/>
  <c r="K92" i="6"/>
  <c r="J92" i="6"/>
  <c r="I92" i="6"/>
  <c r="H92" i="6"/>
  <c r="G92" i="6"/>
  <c r="F92" i="6"/>
  <c r="E92" i="6"/>
  <c r="D92" i="6"/>
  <c r="O79" i="6"/>
  <c r="N79" i="6"/>
  <c r="M79" i="6"/>
  <c r="L79" i="6"/>
  <c r="K79" i="6"/>
  <c r="J79" i="6"/>
  <c r="I79" i="6"/>
  <c r="F79" i="6"/>
  <c r="E79" i="6"/>
  <c r="D79" i="6"/>
  <c r="G78" i="6"/>
  <c r="G77" i="6"/>
  <c r="G76" i="6"/>
  <c r="G75" i="6"/>
  <c r="O74" i="6"/>
  <c r="G74" i="6"/>
  <c r="D74" i="6"/>
  <c r="G73" i="6"/>
  <c r="G72" i="6"/>
  <c r="G79" i="6" s="1"/>
  <c r="L69" i="6"/>
  <c r="K69" i="6"/>
  <c r="I69" i="6"/>
  <c r="G69" i="6"/>
  <c r="D69" i="6"/>
  <c r="H65" i="6"/>
  <c r="H69" i="6" s="1"/>
  <c r="F65" i="6"/>
  <c r="F69" i="6" s="1"/>
  <c r="E65" i="6"/>
  <c r="E69" i="6" s="1"/>
  <c r="L64" i="6"/>
  <c r="K58" i="6"/>
  <c r="J58" i="6"/>
  <c r="I58" i="6"/>
  <c r="H58" i="6"/>
  <c r="G58" i="6"/>
  <c r="F58" i="6"/>
  <c r="E58" i="6"/>
  <c r="D58" i="6"/>
  <c r="E47" i="6"/>
  <c r="D47" i="6"/>
  <c r="F35" i="6"/>
  <c r="G34" i="6"/>
  <c r="G33" i="6"/>
  <c r="G32" i="6"/>
  <c r="D31" i="6"/>
  <c r="G31" i="6" s="1"/>
  <c r="E30" i="6"/>
  <c r="G30" i="6" s="1"/>
  <c r="D30" i="6"/>
  <c r="E29" i="6"/>
  <c r="D29" i="6"/>
  <c r="D35" i="6" s="1"/>
  <c r="G28" i="6"/>
  <c r="O24" i="6"/>
  <c r="N24" i="6"/>
  <c r="M24" i="6"/>
  <c r="L24" i="6"/>
  <c r="K24" i="6"/>
  <c r="J24" i="6"/>
  <c r="I24" i="6"/>
  <c r="H24" i="6"/>
  <c r="F24" i="6"/>
  <c r="E24" i="6"/>
  <c r="G24" i="6" s="1"/>
  <c r="D24" i="6"/>
  <c r="G23" i="6"/>
  <c r="G22" i="6"/>
  <c r="G21" i="6"/>
  <c r="I20" i="6"/>
  <c r="G20" i="6"/>
  <c r="G19" i="6"/>
  <c r="G18" i="6"/>
  <c r="G17" i="6"/>
  <c r="E35" i="6" l="1"/>
  <c r="G35" i="6" s="1"/>
  <c r="G29" i="6"/>
  <c r="F219" i="6"/>
  <c r="G190" i="6"/>
  <c r="G196" i="6" s="1"/>
  <c r="I219" i="4" l="1"/>
  <c r="H219" i="4"/>
  <c r="G219" i="4"/>
  <c r="D219" i="4"/>
  <c r="L209" i="4"/>
  <c r="K209" i="4"/>
  <c r="J209" i="4"/>
  <c r="I209" i="4"/>
  <c r="H209" i="4"/>
  <c r="G209" i="4"/>
  <c r="F209" i="4"/>
  <c r="E209" i="4"/>
  <c r="D209" i="4"/>
  <c r="L196" i="4"/>
  <c r="K196" i="4"/>
  <c r="J196" i="4"/>
  <c r="I196" i="4"/>
  <c r="H196" i="4"/>
  <c r="F196" i="4"/>
  <c r="E196" i="4"/>
  <c r="D196" i="4"/>
  <c r="G195" i="4"/>
  <c r="G194" i="4"/>
  <c r="G193" i="4"/>
  <c r="G192" i="4"/>
  <c r="G191" i="4"/>
  <c r="G189" i="4"/>
  <c r="G196" i="4" s="1"/>
  <c r="O185" i="4"/>
  <c r="N185" i="4"/>
  <c r="M185" i="4"/>
  <c r="L185" i="4"/>
  <c r="K185" i="4"/>
  <c r="J185" i="4"/>
  <c r="I185" i="4"/>
  <c r="H185" i="4"/>
  <c r="F185" i="4"/>
  <c r="E185" i="4"/>
  <c r="D185" i="4"/>
  <c r="G184" i="4"/>
  <c r="G183" i="4"/>
  <c r="G182" i="4"/>
  <c r="G181" i="4"/>
  <c r="G180" i="4"/>
  <c r="G178" i="4"/>
  <c r="G185" i="4" s="1"/>
  <c r="I172" i="4"/>
  <c r="H172" i="4"/>
  <c r="G172" i="4"/>
  <c r="F172" i="4"/>
  <c r="E172" i="4"/>
  <c r="D172" i="4"/>
  <c r="K171" i="4"/>
  <c r="J171" i="4"/>
  <c r="K170" i="4"/>
  <c r="J170" i="4"/>
  <c r="K169" i="4"/>
  <c r="J169" i="4"/>
  <c r="K168" i="4"/>
  <c r="J168" i="4"/>
  <c r="K167" i="4"/>
  <c r="J167" i="4"/>
  <c r="K166" i="4"/>
  <c r="J166" i="4"/>
  <c r="K165" i="4"/>
  <c r="K172" i="4" s="1"/>
  <c r="J165" i="4"/>
  <c r="J172" i="4" s="1"/>
  <c r="J162" i="4"/>
  <c r="I162" i="4"/>
  <c r="H162" i="4"/>
  <c r="F162" i="4"/>
  <c r="E162" i="4"/>
  <c r="D162" i="4"/>
  <c r="G161" i="4"/>
  <c r="G160" i="4"/>
  <c r="G159" i="4"/>
  <c r="G158" i="4"/>
  <c r="G157" i="4"/>
  <c r="G156" i="4"/>
  <c r="G155" i="4"/>
  <c r="G162" i="4" s="1"/>
  <c r="N151" i="4"/>
  <c r="M151" i="4"/>
  <c r="L151" i="4"/>
  <c r="K151" i="4"/>
  <c r="J151" i="4"/>
  <c r="H151" i="4"/>
  <c r="G151" i="4"/>
  <c r="F151" i="4"/>
  <c r="E151" i="4"/>
  <c r="D151" i="4"/>
  <c r="I150" i="4"/>
  <c r="I149" i="4"/>
  <c r="I148" i="4"/>
  <c r="I147" i="4"/>
  <c r="I146" i="4"/>
  <c r="I145" i="4"/>
  <c r="I144" i="4"/>
  <c r="I151" i="4" s="1"/>
  <c r="F137" i="4"/>
  <c r="E137" i="4"/>
  <c r="D137" i="4"/>
  <c r="G136" i="4"/>
  <c r="G135" i="4"/>
  <c r="G134" i="4"/>
  <c r="G133" i="4"/>
  <c r="G132" i="4"/>
  <c r="G137" i="4" s="1"/>
  <c r="L127" i="4"/>
  <c r="K127" i="4"/>
  <c r="I127" i="4"/>
  <c r="H127" i="4"/>
  <c r="G127" i="4"/>
  <c r="F127" i="4"/>
  <c r="E127" i="4"/>
  <c r="D127" i="4"/>
  <c r="L116" i="4"/>
  <c r="K116" i="4"/>
  <c r="I116" i="4"/>
  <c r="H116" i="4"/>
  <c r="G116" i="4"/>
  <c r="F116" i="4"/>
  <c r="E116" i="4"/>
  <c r="D116" i="4"/>
  <c r="M105" i="4"/>
  <c r="L105" i="4"/>
  <c r="K105" i="4"/>
  <c r="J105" i="4"/>
  <c r="I105" i="4"/>
  <c r="H105" i="4"/>
  <c r="G105" i="4"/>
  <c r="F105" i="4"/>
  <c r="E105" i="4"/>
  <c r="D105" i="4"/>
  <c r="K92" i="4"/>
  <c r="J92" i="4"/>
  <c r="I92" i="4"/>
  <c r="H92" i="4"/>
  <c r="G92" i="4"/>
  <c r="F92" i="4"/>
  <c r="E92" i="4"/>
  <c r="D92" i="4"/>
  <c r="O79" i="4"/>
  <c r="N79" i="4"/>
  <c r="M79" i="4"/>
  <c r="L79" i="4"/>
  <c r="K79" i="4"/>
  <c r="J79" i="4"/>
  <c r="I79" i="4"/>
  <c r="F79" i="4"/>
  <c r="E79" i="4"/>
  <c r="D79" i="4"/>
  <c r="G78" i="4"/>
  <c r="G77" i="4"/>
  <c r="G76" i="4"/>
  <c r="G75" i="4"/>
  <c r="G74" i="4"/>
  <c r="G72" i="4"/>
  <c r="G79" i="4" s="1"/>
  <c r="L69" i="4"/>
  <c r="K69" i="4"/>
  <c r="I69" i="4"/>
  <c r="H69" i="4"/>
  <c r="G69" i="4"/>
  <c r="F69" i="4"/>
  <c r="E69" i="4"/>
  <c r="D69" i="4"/>
  <c r="K58" i="4"/>
  <c r="J58" i="4"/>
  <c r="I58" i="4"/>
  <c r="H58" i="4"/>
  <c r="G58" i="4"/>
  <c r="F58" i="4"/>
  <c r="E58" i="4"/>
  <c r="D58" i="4"/>
  <c r="E47" i="4"/>
  <c r="D47" i="4"/>
  <c r="F35" i="4"/>
  <c r="E35" i="4"/>
  <c r="D35" i="4"/>
  <c r="G35" i="4" s="1"/>
  <c r="G34" i="4"/>
  <c r="G33" i="4"/>
  <c r="G32" i="4"/>
  <c r="G31" i="4"/>
  <c r="G30" i="4"/>
  <c r="G29" i="4"/>
  <c r="G28" i="4"/>
  <c r="O24" i="4"/>
  <c r="N24" i="4"/>
  <c r="M24" i="4"/>
  <c r="L24" i="4"/>
  <c r="K24" i="4"/>
  <c r="J24" i="4"/>
  <c r="I24" i="4"/>
  <c r="H24" i="4"/>
  <c r="G24" i="4"/>
  <c r="F24" i="4"/>
  <c r="E24" i="4"/>
  <c r="D24" i="4"/>
  <c r="G23" i="4"/>
  <c r="G22" i="4"/>
  <c r="G21" i="4"/>
  <c r="G20" i="4"/>
  <c r="G19" i="4"/>
  <c r="G17" i="4"/>
  <c r="I219" i="3" l="1"/>
  <c r="H219" i="3"/>
  <c r="G219" i="3"/>
  <c r="F219" i="3"/>
  <c r="E219" i="3"/>
  <c r="D219" i="3"/>
  <c r="E216" i="3"/>
  <c r="E213" i="3"/>
  <c r="L209" i="3"/>
  <c r="K209" i="3"/>
  <c r="J209" i="3"/>
  <c r="I209" i="3"/>
  <c r="H209" i="3"/>
  <c r="G209" i="3"/>
  <c r="F209" i="3"/>
  <c r="E209" i="3"/>
  <c r="D209" i="3"/>
  <c r="L196" i="3"/>
  <c r="K196" i="3"/>
  <c r="J196" i="3"/>
  <c r="I196" i="3"/>
  <c r="H196" i="3"/>
  <c r="F196" i="3"/>
  <c r="E196" i="3"/>
  <c r="D196" i="3"/>
  <c r="G195" i="3"/>
  <c r="G194" i="3"/>
  <c r="G193" i="3"/>
  <c r="G192" i="3"/>
  <c r="G191" i="3"/>
  <c r="G190" i="3"/>
  <c r="G189" i="3"/>
  <c r="G196" i="3" s="1"/>
  <c r="O185" i="3"/>
  <c r="N185" i="3"/>
  <c r="M185" i="3"/>
  <c r="L185" i="3"/>
  <c r="K185" i="3"/>
  <c r="J185" i="3"/>
  <c r="I185" i="3"/>
  <c r="H185" i="3"/>
  <c r="F185" i="3"/>
  <c r="E185" i="3"/>
  <c r="D185" i="3"/>
  <c r="G184" i="3"/>
  <c r="G183" i="3"/>
  <c r="G182" i="3"/>
  <c r="G181" i="3"/>
  <c r="G180" i="3"/>
  <c r="G179" i="3"/>
  <c r="G178" i="3"/>
  <c r="G185" i="3" s="1"/>
  <c r="I172" i="3"/>
  <c r="H172" i="3"/>
  <c r="G172" i="3"/>
  <c r="F172" i="3"/>
  <c r="E172" i="3"/>
  <c r="D172" i="3"/>
  <c r="K171" i="3"/>
  <c r="J171" i="3"/>
  <c r="K170" i="3"/>
  <c r="J170" i="3"/>
  <c r="K169" i="3"/>
  <c r="J169" i="3"/>
  <c r="K168" i="3"/>
  <c r="J168" i="3"/>
  <c r="K167" i="3"/>
  <c r="J167" i="3"/>
  <c r="K166" i="3"/>
  <c r="J166" i="3"/>
  <c r="K165" i="3"/>
  <c r="K172" i="3" s="1"/>
  <c r="J165" i="3"/>
  <c r="J172" i="3" s="1"/>
  <c r="J162" i="3"/>
  <c r="I162" i="3"/>
  <c r="H162" i="3"/>
  <c r="F162" i="3"/>
  <c r="E162" i="3"/>
  <c r="D162" i="3"/>
  <c r="G161" i="3"/>
  <c r="G160" i="3"/>
  <c r="G159" i="3"/>
  <c r="G158" i="3"/>
  <c r="G157" i="3"/>
  <c r="G156" i="3"/>
  <c r="G155" i="3"/>
  <c r="G162" i="3" s="1"/>
  <c r="N151" i="3"/>
  <c r="M151" i="3"/>
  <c r="L151" i="3"/>
  <c r="K151" i="3"/>
  <c r="J151" i="3"/>
  <c r="H151" i="3"/>
  <c r="G151" i="3"/>
  <c r="F151" i="3"/>
  <c r="E151" i="3"/>
  <c r="D151" i="3"/>
  <c r="I150" i="3"/>
  <c r="I149" i="3"/>
  <c r="I148" i="3"/>
  <c r="I147" i="3"/>
  <c r="I146" i="3"/>
  <c r="I145" i="3"/>
  <c r="I144" i="3"/>
  <c r="I151" i="3" s="1"/>
  <c r="F137" i="3"/>
  <c r="E137" i="3"/>
  <c r="G136" i="3"/>
  <c r="G135" i="3"/>
  <c r="G134" i="3"/>
  <c r="G133" i="3"/>
  <c r="D132" i="3"/>
  <c r="D137" i="3" s="1"/>
  <c r="G131" i="3"/>
  <c r="L127" i="3"/>
  <c r="K127" i="3"/>
  <c r="I127" i="3"/>
  <c r="H127" i="3"/>
  <c r="G127" i="3"/>
  <c r="F127" i="3"/>
  <c r="E127" i="3"/>
  <c r="D127" i="3"/>
  <c r="L116" i="3"/>
  <c r="K116" i="3"/>
  <c r="I116" i="3"/>
  <c r="H116" i="3"/>
  <c r="G116" i="3"/>
  <c r="F116" i="3"/>
  <c r="E116" i="3"/>
  <c r="D116" i="3"/>
  <c r="M105" i="3"/>
  <c r="L105" i="3"/>
  <c r="K105" i="3"/>
  <c r="J105" i="3"/>
  <c r="I105" i="3"/>
  <c r="H105" i="3"/>
  <c r="G105" i="3"/>
  <c r="F105" i="3"/>
  <c r="E105" i="3"/>
  <c r="D105" i="3"/>
  <c r="K92" i="3"/>
  <c r="J92" i="3"/>
  <c r="I92" i="3"/>
  <c r="H92" i="3"/>
  <c r="G92" i="3"/>
  <c r="F92" i="3"/>
  <c r="E92" i="3"/>
  <c r="D92" i="3"/>
  <c r="O79" i="3"/>
  <c r="N79" i="3"/>
  <c r="M79" i="3"/>
  <c r="L79" i="3"/>
  <c r="K79" i="3"/>
  <c r="J79" i="3"/>
  <c r="I79" i="3"/>
  <c r="F79" i="3"/>
  <c r="E79" i="3"/>
  <c r="D79" i="3"/>
  <c r="G78" i="3"/>
  <c r="G77" i="3"/>
  <c r="G76" i="3"/>
  <c r="G75" i="3"/>
  <c r="G74" i="3"/>
  <c r="G73" i="3"/>
  <c r="G72" i="3"/>
  <c r="G79" i="3" s="1"/>
  <c r="L69" i="3"/>
  <c r="K69" i="3"/>
  <c r="I69" i="3"/>
  <c r="H69" i="3"/>
  <c r="G69" i="3"/>
  <c r="F69" i="3"/>
  <c r="E69" i="3"/>
  <c r="D69" i="3"/>
  <c r="K58" i="3"/>
  <c r="J58" i="3"/>
  <c r="I58" i="3"/>
  <c r="H58" i="3"/>
  <c r="G58" i="3"/>
  <c r="F58" i="3"/>
  <c r="E58" i="3"/>
  <c r="D58" i="3"/>
  <c r="E47" i="3"/>
  <c r="E42" i="3"/>
  <c r="D42" i="3"/>
  <c r="D47" i="3" s="1"/>
  <c r="G35" i="3"/>
  <c r="F35" i="3"/>
  <c r="E35" i="3"/>
  <c r="D35" i="3"/>
  <c r="G34" i="3"/>
  <c r="G33" i="3"/>
  <c r="G32" i="3"/>
  <c r="G31" i="3"/>
  <c r="G30" i="3"/>
  <c r="G29" i="3"/>
  <c r="G28" i="3"/>
  <c r="O24" i="3"/>
  <c r="N24" i="3"/>
  <c r="M24" i="3"/>
  <c r="L24" i="3"/>
  <c r="K24" i="3"/>
  <c r="J24" i="3"/>
  <c r="I24" i="3"/>
  <c r="H24" i="3"/>
  <c r="F24" i="3"/>
  <c r="E24" i="3"/>
  <c r="D24" i="3"/>
  <c r="G24" i="3" s="1"/>
  <c r="G23" i="3"/>
  <c r="G22" i="3"/>
  <c r="G21" i="3"/>
  <c r="G20" i="3"/>
  <c r="G19" i="3"/>
  <c r="G18" i="3"/>
  <c r="G17" i="3"/>
  <c r="G137" i="3" l="1"/>
  <c r="G132" i="3"/>
  <c r="I219" i="5" l="1"/>
  <c r="H219" i="5"/>
  <c r="G219" i="5"/>
  <c r="F219" i="5"/>
  <c r="E219" i="5"/>
  <c r="D219" i="5"/>
  <c r="F213" i="5"/>
  <c r="E213" i="5"/>
  <c r="D213" i="5"/>
  <c r="L209" i="5"/>
  <c r="K209" i="5"/>
  <c r="J209" i="5"/>
  <c r="I209" i="5"/>
  <c r="H209" i="5"/>
  <c r="G209" i="5"/>
  <c r="F209" i="5"/>
  <c r="E209" i="5"/>
  <c r="D209" i="5"/>
  <c r="L196" i="5"/>
  <c r="K196" i="5"/>
  <c r="J196" i="5"/>
  <c r="I196" i="5"/>
  <c r="H196" i="5"/>
  <c r="F196" i="5"/>
  <c r="E196" i="5"/>
  <c r="D196" i="5"/>
  <c r="G195" i="5"/>
  <c r="G194" i="5"/>
  <c r="G193" i="5"/>
  <c r="G192" i="5"/>
  <c r="G191" i="5"/>
  <c r="G196" i="5" s="1"/>
  <c r="G190" i="5"/>
  <c r="G189" i="5"/>
  <c r="O185" i="5"/>
  <c r="N185" i="5"/>
  <c r="M185" i="5"/>
  <c r="L185" i="5"/>
  <c r="K185" i="5"/>
  <c r="J185" i="5"/>
  <c r="I185" i="5"/>
  <c r="H185" i="5"/>
  <c r="F185" i="5"/>
  <c r="E185" i="5"/>
  <c r="D185" i="5"/>
  <c r="G184" i="5"/>
  <c r="G183" i="5"/>
  <c r="G182" i="5"/>
  <c r="G181" i="5"/>
  <c r="G180" i="5"/>
  <c r="G179" i="5"/>
  <c r="G178" i="5"/>
  <c r="G185" i="5" s="1"/>
  <c r="I172" i="5"/>
  <c r="H172" i="5"/>
  <c r="G172" i="5"/>
  <c r="F172" i="5"/>
  <c r="E172" i="5"/>
  <c r="D172" i="5"/>
  <c r="K171" i="5"/>
  <c r="J171" i="5"/>
  <c r="K170" i="5"/>
  <c r="J170" i="5"/>
  <c r="K169" i="5"/>
  <c r="J169" i="5"/>
  <c r="K168" i="5"/>
  <c r="J168" i="5"/>
  <c r="K167" i="5"/>
  <c r="J167" i="5"/>
  <c r="K166" i="5"/>
  <c r="J166" i="5"/>
  <c r="K165" i="5"/>
  <c r="K172" i="5" s="1"/>
  <c r="J165" i="5"/>
  <c r="J172" i="5" s="1"/>
  <c r="J162" i="5"/>
  <c r="I162" i="5"/>
  <c r="H162" i="5"/>
  <c r="F162" i="5"/>
  <c r="E162" i="5"/>
  <c r="D162" i="5"/>
  <c r="G161" i="5"/>
  <c r="G160" i="5"/>
  <c r="G159" i="5"/>
  <c r="G158" i="5"/>
  <c r="G157" i="5"/>
  <c r="G156" i="5"/>
  <c r="G155" i="5"/>
  <c r="G162" i="5" s="1"/>
  <c r="N151" i="5"/>
  <c r="M151" i="5"/>
  <c r="L151" i="5"/>
  <c r="K151" i="5"/>
  <c r="J151" i="5"/>
  <c r="H151" i="5"/>
  <c r="G151" i="5"/>
  <c r="F151" i="5"/>
  <c r="E151" i="5"/>
  <c r="D151" i="5"/>
  <c r="I150" i="5"/>
  <c r="I149" i="5"/>
  <c r="I148" i="5"/>
  <c r="I147" i="5"/>
  <c r="I146" i="5"/>
  <c r="I145" i="5"/>
  <c r="I144" i="5"/>
  <c r="I151" i="5" s="1"/>
  <c r="F137" i="5"/>
  <c r="E137" i="5"/>
  <c r="D137" i="5"/>
  <c r="G136" i="5"/>
  <c r="G137" i="5" s="1"/>
  <c r="G135" i="5"/>
  <c r="G134" i="5"/>
  <c r="G132" i="5"/>
  <c r="L127" i="5"/>
  <c r="K127" i="5"/>
  <c r="I127" i="5"/>
  <c r="H127" i="5"/>
  <c r="G127" i="5"/>
  <c r="F127" i="5"/>
  <c r="E127" i="5"/>
  <c r="D127" i="5"/>
  <c r="L116" i="5"/>
  <c r="K116" i="5"/>
  <c r="I116" i="5"/>
  <c r="H116" i="5"/>
  <c r="G116" i="5"/>
  <c r="F116" i="5"/>
  <c r="E116" i="5"/>
  <c r="D116" i="5"/>
  <c r="M105" i="5"/>
  <c r="L105" i="5"/>
  <c r="K105" i="5"/>
  <c r="J105" i="5"/>
  <c r="I105" i="5"/>
  <c r="H105" i="5"/>
  <c r="G105" i="5"/>
  <c r="F105" i="5"/>
  <c r="E105" i="5"/>
  <c r="D105" i="5"/>
  <c r="K92" i="5"/>
  <c r="J92" i="5"/>
  <c r="I92" i="5"/>
  <c r="H92" i="5"/>
  <c r="G92" i="5"/>
  <c r="F92" i="5"/>
  <c r="E92" i="5"/>
  <c r="D92" i="5"/>
  <c r="O79" i="5"/>
  <c r="N79" i="5"/>
  <c r="M79" i="5"/>
  <c r="L79" i="5"/>
  <c r="K79" i="5"/>
  <c r="J79" i="5"/>
  <c r="I79" i="5"/>
  <c r="F79" i="5"/>
  <c r="E79" i="5"/>
  <c r="D79" i="5"/>
  <c r="G78" i="5"/>
  <c r="G77" i="5"/>
  <c r="G76" i="5"/>
  <c r="G75" i="5"/>
  <c r="G74" i="5"/>
  <c r="G72" i="5"/>
  <c r="G79" i="5" s="1"/>
  <c r="L69" i="5"/>
  <c r="K69" i="5"/>
  <c r="I69" i="5"/>
  <c r="H69" i="5"/>
  <c r="G69" i="5"/>
  <c r="F69" i="5"/>
  <c r="E69" i="5"/>
  <c r="D69" i="5"/>
  <c r="K58" i="5"/>
  <c r="J58" i="5"/>
  <c r="I58" i="5"/>
  <c r="H58" i="5"/>
  <c r="G58" i="5"/>
  <c r="F58" i="5"/>
  <c r="E58" i="5"/>
  <c r="D58" i="5"/>
  <c r="E47" i="5"/>
  <c r="D47" i="5"/>
  <c r="F35" i="5"/>
  <c r="E35" i="5"/>
  <c r="D35" i="5"/>
  <c r="G35" i="5" s="1"/>
  <c r="G34" i="5"/>
  <c r="G33" i="5"/>
  <c r="G32" i="5"/>
  <c r="G31" i="5"/>
  <c r="G30" i="5"/>
  <c r="G28" i="5"/>
  <c r="O24" i="5"/>
  <c r="N24" i="5"/>
  <c r="M24" i="5"/>
  <c r="L24" i="5"/>
  <c r="K24" i="5"/>
  <c r="J24" i="5"/>
  <c r="I24" i="5"/>
  <c r="H24" i="5"/>
  <c r="F24" i="5"/>
  <c r="E24" i="5"/>
  <c r="D24" i="5"/>
  <c r="G24" i="5" s="1"/>
  <c r="G23" i="5"/>
  <c r="G22" i="5"/>
  <c r="G21" i="5"/>
  <c r="G20" i="5"/>
  <c r="G19" i="5"/>
  <c r="G17" i="5"/>
  <c r="I219" i="2" l="1"/>
  <c r="H219" i="2"/>
  <c r="G219" i="2"/>
  <c r="F219" i="2"/>
  <c r="E217" i="2"/>
  <c r="D217" i="2"/>
  <c r="E216" i="2"/>
  <c r="D216" i="2"/>
  <c r="D214" i="2" s="1"/>
  <c r="E214" i="2"/>
  <c r="F213" i="2"/>
  <c r="L209" i="2"/>
  <c r="K209" i="2"/>
  <c r="J209" i="2"/>
  <c r="I209" i="2"/>
  <c r="H209" i="2"/>
  <c r="G209" i="2"/>
  <c r="F209" i="2"/>
  <c r="E209" i="2"/>
  <c r="D209" i="2"/>
  <c r="L196" i="2"/>
  <c r="J196" i="2"/>
  <c r="I196" i="2"/>
  <c r="H196" i="2"/>
  <c r="F196" i="2"/>
  <c r="E196" i="2"/>
  <c r="D196" i="2"/>
  <c r="G195" i="2"/>
  <c r="G194" i="2"/>
  <c r="G193" i="2"/>
  <c r="G192" i="2"/>
  <c r="G191" i="2"/>
  <c r="G190" i="2"/>
  <c r="K190" i="2" s="1"/>
  <c r="K196" i="2" s="1"/>
  <c r="G189" i="2"/>
  <c r="G196" i="2" s="1"/>
  <c r="O185" i="2"/>
  <c r="N185" i="2"/>
  <c r="M185" i="2"/>
  <c r="L185" i="2"/>
  <c r="J185" i="2"/>
  <c r="I185" i="2"/>
  <c r="H185" i="2"/>
  <c r="F185" i="2"/>
  <c r="E185" i="2"/>
  <c r="D185" i="2"/>
  <c r="G184" i="2"/>
  <c r="G183" i="2"/>
  <c r="G182" i="2"/>
  <c r="G181" i="2"/>
  <c r="K180" i="2"/>
  <c r="K185" i="2" s="1"/>
  <c r="G180" i="2"/>
  <c r="G178" i="2"/>
  <c r="G185" i="2" s="1"/>
  <c r="I172" i="2"/>
  <c r="H172" i="2"/>
  <c r="G172" i="2"/>
  <c r="F172" i="2"/>
  <c r="E172" i="2"/>
  <c r="D172" i="2"/>
  <c r="K171" i="2"/>
  <c r="J171" i="2"/>
  <c r="K170" i="2"/>
  <c r="J170" i="2"/>
  <c r="K169" i="2"/>
  <c r="J169" i="2"/>
  <c r="K168" i="2"/>
  <c r="J168" i="2"/>
  <c r="K167" i="2"/>
  <c r="J167" i="2"/>
  <c r="K166" i="2"/>
  <c r="J166" i="2"/>
  <c r="K165" i="2"/>
  <c r="K172" i="2" s="1"/>
  <c r="J165" i="2"/>
  <c r="J172" i="2" s="1"/>
  <c r="J162" i="2"/>
  <c r="I162" i="2"/>
  <c r="H162" i="2"/>
  <c r="F162" i="2"/>
  <c r="E162" i="2"/>
  <c r="D162" i="2"/>
  <c r="G161" i="2"/>
  <c r="G160" i="2"/>
  <c r="G159" i="2"/>
  <c r="G158" i="2"/>
  <c r="G157" i="2"/>
  <c r="G156" i="2"/>
  <c r="G155" i="2"/>
  <c r="G162" i="2" s="1"/>
  <c r="N151" i="2"/>
  <c r="M151" i="2"/>
  <c r="L151" i="2"/>
  <c r="K151" i="2"/>
  <c r="J151" i="2"/>
  <c r="H151" i="2"/>
  <c r="G151" i="2"/>
  <c r="F151" i="2"/>
  <c r="E151" i="2"/>
  <c r="D151" i="2"/>
  <c r="I150" i="2"/>
  <c r="I149" i="2"/>
  <c r="I148" i="2"/>
  <c r="I147" i="2"/>
  <c r="I146" i="2"/>
  <c r="I145" i="2"/>
  <c r="I144" i="2"/>
  <c r="I151" i="2" s="1"/>
  <c r="F137" i="2"/>
  <c r="E137" i="2"/>
  <c r="G136" i="2"/>
  <c r="G135" i="2"/>
  <c r="G134" i="2"/>
  <c r="G133" i="2"/>
  <c r="D132" i="2"/>
  <c r="G132" i="2" s="1"/>
  <c r="G131" i="2"/>
  <c r="G137" i="2" s="1"/>
  <c r="D131" i="2"/>
  <c r="D137" i="2" s="1"/>
  <c r="L127" i="2"/>
  <c r="K127" i="2"/>
  <c r="I127" i="2"/>
  <c r="H127" i="2"/>
  <c r="G127" i="2"/>
  <c r="F127" i="2"/>
  <c r="E127" i="2"/>
  <c r="D127" i="2"/>
  <c r="L116" i="2"/>
  <c r="K116" i="2"/>
  <c r="I116" i="2"/>
  <c r="H116" i="2"/>
  <c r="G116" i="2"/>
  <c r="F116" i="2"/>
  <c r="E116" i="2"/>
  <c r="D116" i="2"/>
  <c r="M105" i="2"/>
  <c r="L105" i="2"/>
  <c r="K105" i="2"/>
  <c r="J105" i="2"/>
  <c r="I105" i="2"/>
  <c r="H105" i="2"/>
  <c r="G105" i="2"/>
  <c r="F105" i="2"/>
  <c r="E105" i="2"/>
  <c r="D105" i="2"/>
  <c r="K92" i="2"/>
  <c r="J92" i="2"/>
  <c r="I92" i="2"/>
  <c r="H92" i="2"/>
  <c r="G92" i="2"/>
  <c r="F92" i="2"/>
  <c r="E92" i="2"/>
  <c r="D92" i="2"/>
  <c r="O79" i="2"/>
  <c r="N79" i="2"/>
  <c r="M79" i="2"/>
  <c r="L79" i="2"/>
  <c r="K79" i="2"/>
  <c r="J79" i="2"/>
  <c r="I79" i="2"/>
  <c r="F79" i="2"/>
  <c r="E79" i="2"/>
  <c r="D79" i="2"/>
  <c r="G78" i="2"/>
  <c r="G77" i="2"/>
  <c r="G76" i="2"/>
  <c r="G75" i="2"/>
  <c r="G74" i="2"/>
  <c r="G79" i="2" s="1"/>
  <c r="G72" i="2"/>
  <c r="L69" i="2"/>
  <c r="K69" i="2"/>
  <c r="I69" i="2"/>
  <c r="H69" i="2"/>
  <c r="F69" i="2"/>
  <c r="E69" i="2"/>
  <c r="D69" i="2"/>
  <c r="G64" i="2"/>
  <c r="G69" i="2" s="1"/>
  <c r="K58" i="2"/>
  <c r="J58" i="2"/>
  <c r="I58" i="2"/>
  <c r="H58" i="2"/>
  <c r="G58" i="2"/>
  <c r="F58" i="2"/>
  <c r="E58" i="2"/>
  <c r="D58" i="2"/>
  <c r="E47" i="2"/>
  <c r="D47" i="2"/>
  <c r="F35" i="2"/>
  <c r="E35" i="2"/>
  <c r="D35" i="2"/>
  <c r="G35" i="2" s="1"/>
  <c r="G34" i="2"/>
  <c r="G33" i="2"/>
  <c r="G32" i="2"/>
  <c r="G31" i="2"/>
  <c r="G30" i="2"/>
  <c r="G29" i="2"/>
  <c r="D29" i="2"/>
  <c r="G28" i="2"/>
  <c r="O24" i="2"/>
  <c r="N24" i="2"/>
  <c r="M24" i="2"/>
  <c r="L24" i="2"/>
  <c r="K24" i="2"/>
  <c r="J24" i="2"/>
  <c r="I24" i="2"/>
  <c r="H24" i="2"/>
  <c r="F24" i="2"/>
  <c r="E24" i="2"/>
  <c r="D24" i="2"/>
  <c r="G24" i="2" s="1"/>
  <c r="G23" i="2"/>
  <c r="G22" i="2"/>
  <c r="G21" i="2"/>
  <c r="G20" i="2"/>
  <c r="G19" i="2"/>
  <c r="G18" i="2"/>
  <c r="G17" i="2"/>
  <c r="I219" i="17" l="1"/>
  <c r="H219" i="17"/>
  <c r="F219" i="17"/>
  <c r="E219" i="17"/>
  <c r="D219" i="17"/>
  <c r="L209" i="17"/>
  <c r="K209" i="17"/>
  <c r="J209" i="17"/>
  <c r="I209" i="17"/>
  <c r="H209" i="17"/>
  <c r="G209" i="17"/>
  <c r="F209" i="17"/>
  <c r="E209" i="17"/>
  <c r="D209" i="17"/>
  <c r="L196" i="17"/>
  <c r="K196" i="17"/>
  <c r="J196" i="17"/>
  <c r="I196" i="17"/>
  <c r="H196" i="17"/>
  <c r="F196" i="17"/>
  <c r="E196" i="17"/>
  <c r="D196" i="17"/>
  <c r="G195" i="17"/>
  <c r="G194" i="17"/>
  <c r="G193" i="17"/>
  <c r="G192" i="17"/>
  <c r="G191" i="17"/>
  <c r="G196" i="17" s="1"/>
  <c r="G190" i="17"/>
  <c r="G189" i="17"/>
  <c r="O185" i="17"/>
  <c r="N185" i="17"/>
  <c r="M185" i="17"/>
  <c r="L185" i="17"/>
  <c r="K185" i="17"/>
  <c r="J185" i="17"/>
  <c r="I185" i="17"/>
  <c r="H185" i="17"/>
  <c r="F185" i="17"/>
  <c r="E185" i="17"/>
  <c r="D185" i="17"/>
  <c r="G184" i="17"/>
  <c r="G183" i="17"/>
  <c r="G182" i="17"/>
  <c r="G181" i="17"/>
  <c r="G180" i="17"/>
  <c r="G179" i="17"/>
  <c r="G178" i="17"/>
  <c r="G185" i="17" s="1"/>
  <c r="I172" i="17"/>
  <c r="H172" i="17"/>
  <c r="G172" i="17"/>
  <c r="F172" i="17"/>
  <c r="E172" i="17"/>
  <c r="D172" i="17"/>
  <c r="K171" i="17"/>
  <c r="J171" i="17"/>
  <c r="K170" i="17"/>
  <c r="J170" i="17"/>
  <c r="K169" i="17"/>
  <c r="J169" i="17"/>
  <c r="K168" i="17"/>
  <c r="J168" i="17"/>
  <c r="K167" i="17"/>
  <c r="J167" i="17"/>
  <c r="K166" i="17"/>
  <c r="J166" i="17"/>
  <c r="K165" i="17"/>
  <c r="K172" i="17" s="1"/>
  <c r="J165" i="17"/>
  <c r="J172" i="17" s="1"/>
  <c r="J162" i="17"/>
  <c r="I162" i="17"/>
  <c r="H162" i="17"/>
  <c r="F162" i="17"/>
  <c r="E162" i="17"/>
  <c r="D162" i="17"/>
  <c r="G161" i="17"/>
  <c r="G160" i="17"/>
  <c r="G159" i="17"/>
  <c r="G158" i="17"/>
  <c r="G157" i="17"/>
  <c r="G156" i="17"/>
  <c r="G155" i="17"/>
  <c r="G162" i="17" s="1"/>
  <c r="N151" i="17"/>
  <c r="M151" i="17"/>
  <c r="L151" i="17"/>
  <c r="K151" i="17"/>
  <c r="J151" i="17"/>
  <c r="H151" i="17"/>
  <c r="G151" i="17"/>
  <c r="F151" i="17"/>
  <c r="E151" i="17"/>
  <c r="D151" i="17"/>
  <c r="I150" i="17"/>
  <c r="I149" i="17"/>
  <c r="I148" i="17"/>
  <c r="I147" i="17"/>
  <c r="I146" i="17"/>
  <c r="I145" i="17"/>
  <c r="I144" i="17"/>
  <c r="I151" i="17" s="1"/>
  <c r="F137" i="17"/>
  <c r="E137" i="17"/>
  <c r="D137" i="17"/>
  <c r="G136" i="17"/>
  <c r="G135" i="17"/>
  <c r="G134" i="17"/>
  <c r="G133" i="17"/>
  <c r="G132" i="17"/>
  <c r="G131" i="17"/>
  <c r="G137" i="17" s="1"/>
  <c r="L127" i="17"/>
  <c r="K127" i="17"/>
  <c r="I127" i="17"/>
  <c r="H127" i="17"/>
  <c r="G127" i="17"/>
  <c r="F127" i="17"/>
  <c r="E127" i="17"/>
  <c r="D127" i="17"/>
  <c r="L116" i="17"/>
  <c r="K116" i="17"/>
  <c r="I116" i="17"/>
  <c r="H116" i="17"/>
  <c r="G116" i="17"/>
  <c r="F116" i="17"/>
  <c r="E116" i="17"/>
  <c r="D116" i="17"/>
  <c r="M105" i="17"/>
  <c r="L105" i="17"/>
  <c r="K105" i="17"/>
  <c r="J105" i="17"/>
  <c r="I105" i="17"/>
  <c r="H105" i="17"/>
  <c r="G105" i="17"/>
  <c r="F105" i="17"/>
  <c r="E105" i="17"/>
  <c r="D105" i="17"/>
  <c r="K92" i="17"/>
  <c r="J92" i="17"/>
  <c r="I92" i="17"/>
  <c r="H92" i="17"/>
  <c r="G92" i="17"/>
  <c r="F92" i="17"/>
  <c r="E92" i="17"/>
  <c r="D92" i="17"/>
  <c r="O79" i="17"/>
  <c r="N79" i="17"/>
  <c r="M79" i="17"/>
  <c r="L79" i="17"/>
  <c r="K79" i="17"/>
  <c r="J79" i="17"/>
  <c r="I79" i="17"/>
  <c r="F79" i="17"/>
  <c r="E79" i="17"/>
  <c r="D79" i="17"/>
  <c r="G78" i="17"/>
  <c r="G77" i="17"/>
  <c r="G76" i="17"/>
  <c r="G75" i="17"/>
  <c r="G74" i="17"/>
  <c r="G73" i="17"/>
  <c r="G72" i="17"/>
  <c r="G79" i="17" s="1"/>
  <c r="L69" i="17"/>
  <c r="K69" i="17"/>
  <c r="I69" i="17"/>
  <c r="H69" i="17"/>
  <c r="G69" i="17"/>
  <c r="F69" i="17"/>
  <c r="E69" i="17"/>
  <c r="D69" i="17"/>
  <c r="K58" i="17"/>
  <c r="J58" i="17"/>
  <c r="I58" i="17"/>
  <c r="H58" i="17"/>
  <c r="G58" i="17"/>
  <c r="F58" i="17"/>
  <c r="E58" i="17"/>
  <c r="D58" i="17"/>
  <c r="E47" i="17"/>
  <c r="D47" i="17"/>
  <c r="F35" i="17"/>
  <c r="E35" i="17"/>
  <c r="G35" i="17" s="1"/>
  <c r="D35" i="17"/>
  <c r="G34" i="17"/>
  <c r="G33" i="17"/>
  <c r="G32" i="17"/>
  <c r="G31" i="17"/>
  <c r="G30" i="17"/>
  <c r="G29" i="17"/>
  <c r="G28" i="17"/>
  <c r="O24" i="17"/>
  <c r="N24" i="17"/>
  <c r="M24" i="17"/>
  <c r="L24" i="17"/>
  <c r="K24" i="17"/>
  <c r="J24" i="17"/>
  <c r="H24" i="17"/>
  <c r="G24" i="17"/>
  <c r="F24" i="17"/>
  <c r="D24" i="17"/>
  <c r="G23" i="17"/>
  <c r="G22" i="17"/>
  <c r="G21" i="17"/>
  <c r="G20" i="17"/>
  <c r="G19" i="17"/>
  <c r="G18" i="17"/>
  <c r="G17" i="17"/>
  <c r="I219" i="1" l="1"/>
  <c r="H219" i="1"/>
  <c r="G219" i="1"/>
  <c r="F218" i="1"/>
  <c r="E218" i="1"/>
  <c r="D218" i="1"/>
  <c r="F217" i="1"/>
  <c r="E217" i="1"/>
  <c r="F216" i="1"/>
  <c r="F213" i="1" s="1"/>
  <c r="E216" i="1"/>
  <c r="D216" i="1"/>
  <c r="F214" i="1"/>
  <c r="E214" i="1"/>
  <c r="E219" i="1" s="1"/>
  <c r="D214" i="1"/>
  <c r="D219" i="1" s="1"/>
  <c r="D213" i="1"/>
  <c r="L209" i="1"/>
  <c r="K209" i="1"/>
  <c r="J209" i="1"/>
  <c r="I209" i="1"/>
  <c r="H209" i="1"/>
  <c r="G209" i="1"/>
  <c r="F209" i="1"/>
  <c r="E209" i="1"/>
  <c r="D209" i="1"/>
  <c r="J196" i="1"/>
  <c r="H196" i="1"/>
  <c r="F196" i="1"/>
  <c r="E196" i="1"/>
  <c r="D196" i="1"/>
  <c r="G195" i="1"/>
  <c r="G194" i="1"/>
  <c r="G193" i="1"/>
  <c r="L192" i="1"/>
  <c r="L196" i="1" s="1"/>
  <c r="K192" i="1"/>
  <c r="K196" i="1" s="1"/>
  <c r="I192" i="1"/>
  <c r="I196" i="1" s="1"/>
  <c r="G192" i="1"/>
  <c r="G191" i="1"/>
  <c r="G190" i="1"/>
  <c r="G189" i="1"/>
  <c r="G196" i="1" s="1"/>
  <c r="O185" i="1"/>
  <c r="N185" i="1"/>
  <c r="M185" i="1"/>
  <c r="K185" i="1"/>
  <c r="J185" i="1"/>
  <c r="H185" i="1"/>
  <c r="F185" i="1"/>
  <c r="E185" i="1"/>
  <c r="D185" i="1"/>
  <c r="G184" i="1"/>
  <c r="G183" i="1"/>
  <c r="G182" i="1"/>
  <c r="L181" i="1"/>
  <c r="L185" i="1" s="1"/>
  <c r="I181" i="1"/>
  <c r="I185" i="1" s="1"/>
  <c r="H181" i="1"/>
  <c r="G181" i="1"/>
  <c r="G180" i="1"/>
  <c r="G179" i="1"/>
  <c r="G185" i="1" s="1"/>
  <c r="G178" i="1"/>
  <c r="I172" i="1"/>
  <c r="H172" i="1"/>
  <c r="G172" i="1"/>
  <c r="F172" i="1"/>
  <c r="E172" i="1"/>
  <c r="D172" i="1"/>
  <c r="K171" i="1"/>
  <c r="J171" i="1"/>
  <c r="K170" i="1"/>
  <c r="J170" i="1"/>
  <c r="K169" i="1"/>
  <c r="J169" i="1"/>
  <c r="K168" i="1"/>
  <c r="J168" i="1"/>
  <c r="K167" i="1"/>
  <c r="J167" i="1"/>
  <c r="K166" i="1"/>
  <c r="J166" i="1"/>
  <c r="K165" i="1"/>
  <c r="K172" i="1" s="1"/>
  <c r="J165" i="1"/>
  <c r="J172" i="1" s="1"/>
  <c r="J162" i="1"/>
  <c r="I162" i="1"/>
  <c r="H162" i="1"/>
  <c r="F162" i="1"/>
  <c r="E162" i="1"/>
  <c r="D162" i="1"/>
  <c r="G161" i="1"/>
  <c r="G160" i="1"/>
  <c r="G159" i="1"/>
  <c r="G158" i="1"/>
  <c r="G157" i="1"/>
  <c r="G162" i="1" s="1"/>
  <c r="G156" i="1"/>
  <c r="G155" i="1"/>
  <c r="N151" i="1"/>
  <c r="M151" i="1"/>
  <c r="L151" i="1"/>
  <c r="K151" i="1"/>
  <c r="J151" i="1"/>
  <c r="H151" i="1"/>
  <c r="G151" i="1"/>
  <c r="F151" i="1"/>
  <c r="E151" i="1"/>
  <c r="D151" i="1"/>
  <c r="I150" i="1"/>
  <c r="I149" i="1"/>
  <c r="I148" i="1"/>
  <c r="I147" i="1"/>
  <c r="I146" i="1"/>
  <c r="I145" i="1"/>
  <c r="I144" i="1"/>
  <c r="I151" i="1" s="1"/>
  <c r="F137" i="1"/>
  <c r="E137" i="1"/>
  <c r="D137" i="1"/>
  <c r="G136" i="1"/>
  <c r="G135" i="1"/>
  <c r="G134" i="1"/>
  <c r="G133" i="1"/>
  <c r="D133" i="1"/>
  <c r="D132" i="1"/>
  <c r="G132" i="1" s="1"/>
  <c r="G131" i="1"/>
  <c r="G137" i="1" s="1"/>
  <c r="L127" i="1"/>
  <c r="K127" i="1"/>
  <c r="I127" i="1"/>
  <c r="H127" i="1"/>
  <c r="G127" i="1"/>
  <c r="F127" i="1"/>
  <c r="E127" i="1"/>
  <c r="D127" i="1"/>
  <c r="L116" i="1"/>
  <c r="K116" i="1"/>
  <c r="I116" i="1"/>
  <c r="H116" i="1"/>
  <c r="G116" i="1"/>
  <c r="F116" i="1"/>
  <c r="E116" i="1"/>
  <c r="D116" i="1"/>
  <c r="M105" i="1"/>
  <c r="L105" i="1"/>
  <c r="K105" i="1"/>
  <c r="J105" i="1"/>
  <c r="I105" i="1"/>
  <c r="H105" i="1"/>
  <c r="G105" i="1"/>
  <c r="F105" i="1"/>
  <c r="E105" i="1"/>
  <c r="D105" i="1"/>
  <c r="K92" i="1"/>
  <c r="J92" i="1"/>
  <c r="I92" i="1"/>
  <c r="H92" i="1"/>
  <c r="G92" i="1"/>
  <c r="F92" i="1"/>
  <c r="E92" i="1"/>
  <c r="D92" i="1"/>
  <c r="N79" i="1"/>
  <c r="M79" i="1"/>
  <c r="L79" i="1"/>
  <c r="J79" i="1"/>
  <c r="I79" i="1"/>
  <c r="F79" i="1"/>
  <c r="E79" i="1"/>
  <c r="G78" i="1"/>
  <c r="G77" i="1"/>
  <c r="G76" i="1"/>
  <c r="J75" i="1"/>
  <c r="H75" i="1"/>
  <c r="G75" i="1"/>
  <c r="D75" i="1"/>
  <c r="O74" i="1"/>
  <c r="O79" i="1" s="1"/>
  <c r="K74" i="1"/>
  <c r="G74" i="1"/>
  <c r="D74" i="1"/>
  <c r="K73" i="1"/>
  <c r="K79" i="1" s="1"/>
  <c r="H73" i="1"/>
  <c r="H79" i="1" s="1"/>
  <c r="G73" i="1"/>
  <c r="D73" i="1"/>
  <c r="D79" i="1" s="1"/>
  <c r="G72" i="1"/>
  <c r="G79" i="1" s="1"/>
  <c r="K69" i="1"/>
  <c r="I69" i="1"/>
  <c r="F69" i="1"/>
  <c r="E69" i="1"/>
  <c r="L65" i="1"/>
  <c r="L69" i="1" s="1"/>
  <c r="H65" i="1"/>
  <c r="H69" i="1" s="1"/>
  <c r="G65" i="1"/>
  <c r="G69" i="1" s="1"/>
  <c r="F65" i="1"/>
  <c r="E65" i="1"/>
  <c r="D65" i="1"/>
  <c r="D69" i="1" s="1"/>
  <c r="K58" i="1"/>
  <c r="J58" i="1"/>
  <c r="I58" i="1"/>
  <c r="H58" i="1"/>
  <c r="G58" i="1"/>
  <c r="F58" i="1"/>
  <c r="E58" i="1"/>
  <c r="D58" i="1"/>
  <c r="E43" i="1"/>
  <c r="D43" i="1"/>
  <c r="E42" i="1"/>
  <c r="E47" i="1" s="1"/>
  <c r="D42" i="1"/>
  <c r="E41" i="1"/>
  <c r="D41" i="1"/>
  <c r="D47" i="1" s="1"/>
  <c r="F35" i="1"/>
  <c r="G34" i="1"/>
  <c r="G33" i="1"/>
  <c r="G32" i="1"/>
  <c r="G31" i="1"/>
  <c r="D31" i="1"/>
  <c r="F30" i="1"/>
  <c r="E30" i="1"/>
  <c r="D30" i="1"/>
  <c r="G30" i="1" s="1"/>
  <c r="E29" i="1"/>
  <c r="E35" i="1" s="1"/>
  <c r="D29" i="1"/>
  <c r="G29" i="1" s="1"/>
  <c r="G28" i="1"/>
  <c r="N24" i="1"/>
  <c r="M24" i="1"/>
  <c r="L24" i="1"/>
  <c r="E24" i="1"/>
  <c r="G23" i="1"/>
  <c r="G22" i="1"/>
  <c r="G21" i="1"/>
  <c r="O20" i="1"/>
  <c r="K20" i="1"/>
  <c r="J20" i="1"/>
  <c r="J24" i="1" s="1"/>
  <c r="I20" i="1"/>
  <c r="H20" i="1"/>
  <c r="G20" i="1"/>
  <c r="D20" i="1"/>
  <c r="O19" i="1"/>
  <c r="O24" i="1" s="1"/>
  <c r="K19" i="1"/>
  <c r="I19" i="1"/>
  <c r="H19" i="1"/>
  <c r="G19" i="1"/>
  <c r="F19" i="1"/>
  <c r="F24" i="1" s="1"/>
  <c r="D19" i="1"/>
  <c r="K18" i="1"/>
  <c r="K24" i="1" s="1"/>
  <c r="I18" i="1"/>
  <c r="I24" i="1" s="1"/>
  <c r="H18" i="1"/>
  <c r="H24" i="1" s="1"/>
  <c r="E18" i="1"/>
  <c r="D18" i="1"/>
  <c r="D24" i="1" s="1"/>
  <c r="G24" i="1" s="1"/>
  <c r="G17" i="1"/>
  <c r="F219" i="1" l="1"/>
  <c r="E213" i="1"/>
  <c r="D35" i="1"/>
  <c r="G35" i="1" s="1"/>
  <c r="G18" i="1"/>
  <c r="I219" i="18" l="1"/>
  <c r="H219" i="18"/>
  <c r="G219" i="18"/>
  <c r="F219" i="18"/>
  <c r="E219" i="18"/>
  <c r="D219" i="18"/>
  <c r="L209" i="18"/>
  <c r="I209" i="18"/>
  <c r="H209" i="18"/>
  <c r="E209" i="18"/>
  <c r="D209" i="18"/>
  <c r="K196" i="18"/>
  <c r="J196" i="18"/>
  <c r="I196" i="18"/>
  <c r="H196" i="18"/>
  <c r="F196" i="18"/>
  <c r="E196" i="18"/>
  <c r="D196" i="18"/>
  <c r="G195" i="18"/>
  <c r="G194" i="18"/>
  <c r="G193" i="18"/>
  <c r="G192" i="18"/>
  <c r="L192" i="18" s="1"/>
  <c r="L196" i="18" s="1"/>
  <c r="L191" i="18"/>
  <c r="G191" i="18"/>
  <c r="G190" i="18"/>
  <c r="G189" i="18"/>
  <c r="G196" i="18" s="1"/>
  <c r="O185" i="18"/>
  <c r="N185" i="18"/>
  <c r="M185" i="18"/>
  <c r="L185" i="18"/>
  <c r="K185" i="18"/>
  <c r="J185" i="18"/>
  <c r="I185" i="18"/>
  <c r="H185" i="18"/>
  <c r="F185" i="18"/>
  <c r="E185" i="18"/>
  <c r="D185" i="18"/>
  <c r="G184" i="18"/>
  <c r="G183" i="18"/>
  <c r="G182" i="18"/>
  <c r="G181" i="18"/>
  <c r="G180" i="18"/>
  <c r="G179" i="18"/>
  <c r="G178" i="18"/>
  <c r="G185" i="18" s="1"/>
  <c r="J162" i="18"/>
  <c r="I162" i="18"/>
  <c r="H162" i="18"/>
  <c r="F162" i="18"/>
  <c r="E162" i="18"/>
  <c r="D162" i="18"/>
  <c r="G161" i="18"/>
  <c r="G160" i="18"/>
  <c r="G159" i="18"/>
  <c r="G158" i="18"/>
  <c r="G157" i="18"/>
  <c r="G156" i="18"/>
  <c r="G162" i="18" s="1"/>
  <c r="G155" i="18"/>
  <c r="N151" i="18"/>
  <c r="M151" i="18"/>
  <c r="L151" i="18"/>
  <c r="K151" i="18"/>
  <c r="J151" i="18"/>
  <c r="H151" i="18"/>
  <c r="G151" i="18"/>
  <c r="F151" i="18"/>
  <c r="E151" i="18"/>
  <c r="D151" i="18"/>
  <c r="I150" i="18"/>
  <c r="I149" i="18"/>
  <c r="I148" i="18"/>
  <c r="I147" i="18"/>
  <c r="I146" i="18"/>
  <c r="I145" i="18"/>
  <c r="I144" i="18"/>
  <c r="I151" i="18" s="1"/>
  <c r="F137" i="18"/>
  <c r="E137" i="18"/>
  <c r="D137" i="18"/>
  <c r="G136" i="18"/>
  <c r="G135" i="18"/>
  <c r="G134" i="18"/>
  <c r="G133" i="18"/>
  <c r="G132" i="18"/>
  <c r="G137" i="18" s="1"/>
  <c r="G131" i="18"/>
  <c r="L127" i="18"/>
  <c r="K127" i="18"/>
  <c r="I127" i="18"/>
  <c r="H127" i="18"/>
  <c r="G127" i="18"/>
  <c r="F127" i="18"/>
  <c r="E127" i="18"/>
  <c r="D127" i="18"/>
  <c r="L116" i="18"/>
  <c r="K116" i="18"/>
  <c r="I116" i="18"/>
  <c r="H116" i="18"/>
  <c r="G116" i="18"/>
  <c r="F116" i="18"/>
  <c r="E116" i="18"/>
  <c r="D116" i="18"/>
  <c r="M105" i="18"/>
  <c r="L105" i="18"/>
  <c r="K105" i="18"/>
  <c r="J105" i="18"/>
  <c r="I105" i="18"/>
  <c r="H105" i="18"/>
  <c r="G105" i="18"/>
  <c r="F105" i="18"/>
  <c r="E105" i="18"/>
  <c r="D105" i="18"/>
  <c r="K92" i="18"/>
  <c r="J92" i="18"/>
  <c r="I92" i="18"/>
  <c r="H92" i="18"/>
  <c r="G92" i="18"/>
  <c r="F92" i="18"/>
  <c r="E92" i="18"/>
  <c r="D92" i="18"/>
  <c r="O79" i="18"/>
  <c r="N79" i="18"/>
  <c r="M79" i="18"/>
  <c r="L79" i="18"/>
  <c r="K79" i="18"/>
  <c r="J79" i="18"/>
  <c r="I79" i="18"/>
  <c r="F79" i="18"/>
  <c r="E79" i="18"/>
  <c r="D79" i="18"/>
  <c r="G74" i="18"/>
  <c r="G73" i="18"/>
  <c r="G79" i="18" s="1"/>
  <c r="L69" i="18"/>
  <c r="K69" i="18"/>
  <c r="I69" i="18"/>
  <c r="H69" i="18"/>
  <c r="G69" i="18"/>
  <c r="F69" i="18"/>
  <c r="E69" i="18"/>
  <c r="D69" i="18"/>
  <c r="K58" i="18"/>
  <c r="J58" i="18"/>
  <c r="I58" i="18"/>
  <c r="H58" i="18"/>
  <c r="G58" i="18"/>
  <c r="F58" i="18"/>
  <c r="E58" i="18"/>
  <c r="D58" i="18"/>
  <c r="E47" i="18"/>
  <c r="D47" i="18"/>
  <c r="F35" i="18"/>
  <c r="G35" i="18" s="1"/>
  <c r="E35" i="18"/>
  <c r="D35" i="18"/>
  <c r="G34" i="18"/>
  <c r="G33" i="18"/>
  <c r="G32" i="18"/>
  <c r="G31" i="18"/>
  <c r="G30" i="18"/>
  <c r="G29" i="18"/>
  <c r="G28" i="18"/>
  <c r="O24" i="18"/>
  <c r="N24" i="18"/>
  <c r="M24" i="18"/>
  <c r="L24" i="18"/>
  <c r="K24" i="18"/>
  <c r="J24" i="18"/>
  <c r="I24" i="18"/>
  <c r="H24" i="18"/>
  <c r="F24" i="18"/>
  <c r="E24" i="18"/>
  <c r="D24" i="18"/>
  <c r="G24" i="18" s="1"/>
  <c r="G23" i="18"/>
  <c r="G22" i="18"/>
  <c r="G21" i="18"/>
  <c r="G20" i="18"/>
  <c r="G19" i="18"/>
  <c r="G18" i="18"/>
  <c r="G17" i="18"/>
</calcChain>
</file>

<file path=xl/comments1.xml><?xml version="1.0" encoding="utf-8"?>
<comments xmlns="http://schemas.openxmlformats.org/spreadsheetml/2006/main">
  <authors>
    <author>Klaudia Jędrzejewska</author>
  </authors>
  <commentList>
    <comment ref="O20" authorId="0" shapeId="0">
      <text>
        <r>
          <rPr>
            <b/>
            <sz val="9"/>
            <color indexed="81"/>
            <rFont val="Tahoma"/>
            <family val="2"/>
            <charset val="238"/>
          </rPr>
          <t>Klaudia Jędrzejewska:</t>
        </r>
        <r>
          <rPr>
            <sz val="9"/>
            <color indexed="81"/>
            <rFont val="Tahoma"/>
            <family val="2"/>
            <charset val="238"/>
          </rPr>
          <t xml:space="preserve">
Imprezy dofinansowane w ramach konkursu "Wieś na weekend'2017" mające na celu promowanie i informowanie o rezultatach PROW oraz imprezy realizowane w ramach PK</t>
        </r>
      </text>
    </comment>
    <comment ref="L65" authorId="0" shapeId="0">
      <text>
        <r>
          <rPr>
            <b/>
            <sz val="9"/>
            <color indexed="81"/>
            <rFont val="Tahoma"/>
            <family val="2"/>
            <charset val="238"/>
          </rPr>
          <t>Klaudia Jędrzejewska:</t>
        </r>
        <r>
          <rPr>
            <sz val="9"/>
            <color indexed="81"/>
            <rFont val="Tahoma"/>
            <family val="2"/>
            <charset val="238"/>
          </rPr>
          <t xml:space="preserve">
Album,  w którym w sposób graficzny i opisowy przedstawione zostały najciekawsze operacje współfinansowane ze środków PROW 2014-2020. Publikacja zawiera tekst i fotografie opisujące najciekawsze projekty zrealizowane przy współudziale środków Programu Rozwoju Obszarów Wiejskich 2014-2020. </t>
        </r>
      </text>
    </comment>
    <comment ref="O75" authorId="0" shapeId="0">
      <text>
        <r>
          <rPr>
            <b/>
            <sz val="9"/>
            <color indexed="81"/>
            <rFont val="Tahoma"/>
            <family val="2"/>
            <charset val="238"/>
          </rPr>
          <t>Klaudia Jędrzejewska:</t>
        </r>
        <r>
          <rPr>
            <sz val="9"/>
            <color indexed="81"/>
            <rFont val="Tahoma"/>
            <family val="2"/>
            <charset val="238"/>
          </rPr>
          <t xml:space="preserve">
Felietony w programie Agroregion, mające na celu promowanie i informowanie o rezultatach PROW </t>
        </r>
      </text>
    </comment>
  </commentList>
</comments>
</file>

<file path=xl/comments2.xml><?xml version="1.0" encoding="utf-8"?>
<comments xmlns="http://schemas.openxmlformats.org/spreadsheetml/2006/main">
  <authors>
    <author>Beata Adamska</author>
  </authors>
  <commentList>
    <comment ref="F19" authorId="0" shapeId="0">
      <text>
        <r>
          <rPr>
            <b/>
            <sz val="9"/>
            <color indexed="81"/>
            <rFont val="Tahoma"/>
            <family val="2"/>
            <charset val="238"/>
          </rPr>
          <t>Beata Adamska:</t>
        </r>
        <r>
          <rPr>
            <sz val="9"/>
            <color indexed="81"/>
            <rFont val="Tahoma"/>
            <family val="2"/>
            <charset val="238"/>
          </rPr>
          <t xml:space="preserve">
Ekogala, Dubiecko</t>
        </r>
      </text>
    </comment>
  </commentList>
</comments>
</file>

<file path=xl/comments3.xml><?xml version="1.0" encoding="utf-8"?>
<comments xmlns="http://schemas.openxmlformats.org/spreadsheetml/2006/main">
  <authors>
    <author>Sacharczuk Ewa</author>
  </authors>
  <commentList>
    <comment ref="D18" authorId="0" shapeId="0">
      <text>
        <r>
          <rPr>
            <b/>
            <sz val="9"/>
            <color indexed="81"/>
            <rFont val="Tahoma"/>
            <family val="2"/>
            <charset val="238"/>
          </rPr>
          <t>Sacharczuk Ewa:</t>
        </r>
        <r>
          <rPr>
            <sz val="9"/>
            <color indexed="81"/>
            <rFont val="Tahoma"/>
            <family val="2"/>
            <charset val="238"/>
          </rPr>
          <t xml:space="preserve">
Nowoczesna i tradycyjna,"Natura na talerzu  - Kiermasz zdrowej Żywności", III Targi Leśne „Las i My”, Konferencja: „Sztuka mediacji, Podlaskie Konferencje Ekoturystyczne, 4 X punkty terenowe, Konferencja Inauguracyjna PROW</t>
        </r>
      </text>
    </comment>
    <comment ref="E18" authorId="0" shapeId="0">
      <text>
        <r>
          <rPr>
            <b/>
            <sz val="9"/>
            <color indexed="81"/>
            <rFont val="Tahoma"/>
            <family val="2"/>
            <charset val="238"/>
          </rPr>
          <t>Sacharczuk Ewa:</t>
        </r>
        <r>
          <rPr>
            <sz val="9"/>
            <color indexed="81"/>
            <rFont val="Tahoma"/>
            <family val="2"/>
            <charset val="238"/>
          </rPr>
          <t xml:space="preserve">
Targi Smaki Regionów oraz Natura Food</t>
        </r>
      </text>
    </comment>
    <comment ref="D41" authorId="0" shapeId="0">
      <text>
        <r>
          <rPr>
            <b/>
            <sz val="9"/>
            <color indexed="81"/>
            <rFont val="Tahoma"/>
            <family val="2"/>
            <charset val="238"/>
          </rPr>
          <t>Sacharczuk Ewa:</t>
        </r>
        <r>
          <rPr>
            <sz val="9"/>
            <color indexed="81"/>
            <rFont val="Tahoma"/>
            <family val="2"/>
            <charset val="238"/>
          </rPr>
          <t xml:space="preserve">
Brak Danych z Jednostki Centralnej, natomiast strona Jednostki Regionalnej jeszcze nie została uruchomiona</t>
        </r>
      </text>
    </comment>
    <comment ref="D42" authorId="0" shapeId="0">
      <text>
        <r>
          <rPr>
            <b/>
            <sz val="9"/>
            <color indexed="81"/>
            <rFont val="Tahoma"/>
            <family val="2"/>
            <charset val="238"/>
          </rPr>
          <t>Sacharczuk Ewa:</t>
        </r>
        <r>
          <rPr>
            <sz val="9"/>
            <color indexed="81"/>
            <rFont val="Tahoma"/>
            <family val="2"/>
            <charset val="238"/>
          </rPr>
          <t xml:space="preserve">
- strona KSOW 8 612
- strona PROW 5 698</t>
        </r>
      </text>
    </comment>
    <comment ref="E42" authorId="0" shapeId="0">
      <text>
        <r>
          <rPr>
            <b/>
            <sz val="9"/>
            <color indexed="81"/>
            <rFont val="Tahoma"/>
            <family val="2"/>
            <charset val="238"/>
          </rPr>
          <t>Sacharczuk Ewa:</t>
        </r>
        <r>
          <rPr>
            <sz val="9"/>
            <color indexed="81"/>
            <rFont val="Tahoma"/>
            <family val="2"/>
            <charset val="238"/>
          </rPr>
          <t xml:space="preserve">
- strona KSOW 5 384
- strona PROW 1 301</t>
        </r>
      </text>
    </comment>
    <comment ref="D43" authorId="0" shapeId="0">
      <text>
        <r>
          <rPr>
            <b/>
            <sz val="9"/>
            <color indexed="81"/>
            <rFont val="Tahoma"/>
            <family val="2"/>
            <charset val="238"/>
          </rPr>
          <t>Sacharczuk Ewa:</t>
        </r>
        <r>
          <rPr>
            <sz val="9"/>
            <color indexed="81"/>
            <rFont val="Tahoma"/>
            <family val="2"/>
            <charset val="238"/>
          </rPr>
          <t xml:space="preserve">
- strona KSOW 8 361
- strona PROW 26 448</t>
        </r>
      </text>
    </comment>
    <comment ref="E43" authorId="0" shapeId="0">
      <text>
        <r>
          <rPr>
            <b/>
            <sz val="9"/>
            <color indexed="81"/>
            <rFont val="Tahoma"/>
            <family val="2"/>
            <charset val="238"/>
          </rPr>
          <t>Sacharczuk Ewa:</t>
        </r>
        <r>
          <rPr>
            <sz val="9"/>
            <color indexed="81"/>
            <rFont val="Tahoma"/>
            <family val="2"/>
            <charset val="238"/>
          </rPr>
          <t xml:space="preserve">
- strona KSOW 4 627
- strona PROW 4 601</t>
        </r>
      </text>
    </comment>
    <comment ref="D65" authorId="0" shapeId="0">
      <text>
        <r>
          <rPr>
            <b/>
            <sz val="9"/>
            <color indexed="81"/>
            <rFont val="Tahoma"/>
            <family val="2"/>
            <charset val="238"/>
          </rPr>
          <t>Sacharczuk Ewa:</t>
        </r>
        <r>
          <rPr>
            <sz val="9"/>
            <color indexed="81"/>
            <rFont val="Tahoma"/>
            <family val="2"/>
            <charset val="238"/>
          </rPr>
          <t xml:space="preserve">
Sery Korycińskie - jak je ugryźć? - publikacja</t>
        </r>
      </text>
    </comment>
    <comment ref="F73" authorId="0" shapeId="0">
      <text>
        <r>
          <rPr>
            <b/>
            <sz val="9"/>
            <color indexed="81"/>
            <rFont val="Tahoma"/>
            <family val="2"/>
            <charset val="238"/>
          </rPr>
          <t>Sacharczuk Ewa:</t>
        </r>
        <r>
          <rPr>
            <sz val="9"/>
            <color indexed="81"/>
            <rFont val="Tahoma"/>
            <family val="2"/>
            <charset val="238"/>
          </rPr>
          <t xml:space="preserve">
Pod pojęciem "Inne"  uwzględniono następujące narzedzia komunikacyjne: internet - opublikowano 10 artykułów/reklam internetowych  oraz utworzono przeglądarkę działań PROW 2014-2020, przeprowadzono kampanie bezpieczna praca w gospodarstwie, prasa - opublikowano 9 artykułów prasowych, zakupiono 13 tablic informacyjnych dla beneficjentów.</t>
        </r>
      </text>
    </comment>
    <comment ref="O73" authorId="0" shapeId="0">
      <text>
        <r>
          <rPr>
            <b/>
            <sz val="9"/>
            <color indexed="81"/>
            <rFont val="Tahoma"/>
            <family val="2"/>
            <charset val="238"/>
          </rPr>
          <t>Sacharczuk Ewa:</t>
        </r>
        <r>
          <rPr>
            <sz val="9"/>
            <color indexed="81"/>
            <rFont val="Tahoma"/>
            <family val="2"/>
            <charset val="238"/>
          </rPr>
          <t xml:space="preserve">
Do kategorii "Inne lub mieszane" zaliczają się w szczególności informacje na temat działań i poddziałań PROW 2014-2020 wdrażanych przez poszczególne instytucje oraz kampania informacyjna bezpieczna praca w gospodarstwie.  </t>
        </r>
      </text>
    </comment>
    <comment ref="D75" authorId="0" shapeId="0">
      <text>
        <r>
          <rPr>
            <b/>
            <sz val="9"/>
            <color indexed="81"/>
            <rFont val="Tahoma"/>
            <family val="2"/>
            <charset val="238"/>
          </rPr>
          <t>Sacharczuk Ewa:</t>
        </r>
        <r>
          <rPr>
            <sz val="9"/>
            <color indexed="81"/>
            <rFont val="Tahoma"/>
            <family val="2"/>
            <charset val="238"/>
          </rPr>
          <t xml:space="preserve">
4 Filmy z Wizyty studyjnej OZE</t>
        </r>
      </text>
    </comment>
    <comment ref="E75" authorId="0" shapeId="0">
      <text>
        <r>
          <rPr>
            <b/>
            <sz val="9"/>
            <color indexed="81"/>
            <rFont val="Tahoma"/>
            <family val="2"/>
            <charset val="238"/>
          </rPr>
          <t>Sacharczuk Ewa:</t>
        </r>
        <r>
          <rPr>
            <sz val="9"/>
            <color indexed="81"/>
            <rFont val="Tahoma"/>
            <family val="2"/>
            <charset val="238"/>
          </rPr>
          <t xml:space="preserve">
Olimpiada Aktywności Wiejskiej - 1 oraz Olimpiada Młodych Producentów - 1 Konkurs Podlaska Agroliga - 1 </t>
        </r>
      </text>
    </comment>
    <comment ref="F75" authorId="0" shapeId="0">
      <text>
        <r>
          <rPr>
            <b/>
            <sz val="9"/>
            <color indexed="81"/>
            <rFont val="Tahoma"/>
            <family val="2"/>
            <charset val="238"/>
          </rPr>
          <t>Sacharczuk Ewa:</t>
        </r>
        <r>
          <rPr>
            <sz val="9"/>
            <color indexed="81"/>
            <rFont val="Tahoma"/>
            <family val="2"/>
            <charset val="238"/>
          </rPr>
          <t xml:space="preserve">
Kampania informacyjna - 1, Artykuły pracowe 8, Artykuły internetowe 14</t>
        </r>
      </text>
    </comment>
    <comment ref="D132" authorId="0" shapeId="0">
      <text>
        <r>
          <rPr>
            <b/>
            <sz val="9"/>
            <color indexed="81"/>
            <rFont val="Tahoma"/>
            <family val="2"/>
            <charset val="238"/>
          </rPr>
          <t>Sacharczuk Ewa:</t>
        </r>
        <r>
          <rPr>
            <sz val="9"/>
            <color indexed="81"/>
            <rFont val="Tahoma"/>
            <family val="2"/>
            <charset val="238"/>
          </rPr>
          <t xml:space="preserve">
Organizowaliśmy 7 posiedzeń obiegowo w których kazdorazowo głosowali wszyscy członkowie grupy (47 osób).</t>
        </r>
      </text>
    </comment>
    <comment ref="D133" authorId="0" shapeId="0">
      <text>
        <r>
          <rPr>
            <b/>
            <sz val="9"/>
            <color indexed="81"/>
            <rFont val="Tahoma"/>
            <family val="2"/>
            <charset val="238"/>
          </rPr>
          <t>Sacharczuk Ewa:</t>
        </r>
        <r>
          <rPr>
            <sz val="9"/>
            <color indexed="81"/>
            <rFont val="Tahoma"/>
            <family val="2"/>
            <charset val="238"/>
          </rPr>
          <t xml:space="preserve">
Organizowaliśmy 7 posiedzeń w trybie obiegowym w których każdorazowo głosowali wszyscy członkowie grupy (47 osób) oraz 1 spotkanie stacjonarne w którym uczestniczyło 29 członków grupy.</t>
        </r>
      </text>
    </comment>
    <comment ref="C179" authorId="0" shapeId="0">
      <text>
        <r>
          <rPr>
            <b/>
            <sz val="9"/>
            <color indexed="81"/>
            <rFont val="Tahoma"/>
            <family val="2"/>
            <charset val="238"/>
          </rPr>
          <t>Sacharczuk Ewa:</t>
        </r>
        <r>
          <rPr>
            <sz val="9"/>
            <color indexed="81"/>
            <rFont val="Tahoma"/>
            <family val="2"/>
            <charset val="238"/>
          </rPr>
          <t xml:space="preserve">
Kategoria "inne" -  obejmuje: 1 szkolenie realizujące priorytet I, 1 spotkanie szkoleniowo-informacyjne realizujace priorytet I oraz wyjazd studyjny realizujący priotrytet 2 i 6 i wyjazd studyjny realizujący priorytet 3 i 6.</t>
        </r>
      </text>
    </comment>
    <comment ref="D179" authorId="0" shapeId="0">
      <text>
        <r>
          <rPr>
            <b/>
            <sz val="9"/>
            <color indexed="81"/>
            <rFont val="Tahoma"/>
            <family val="2"/>
            <charset val="238"/>
          </rPr>
          <t>Sacharczuk Ewa:</t>
        </r>
        <r>
          <rPr>
            <sz val="9"/>
            <color indexed="81"/>
            <rFont val="Tahoma"/>
            <family val="2"/>
            <charset val="238"/>
          </rPr>
          <t xml:space="preserve">
Szkolenie dla dziennikarzy o PROW, Szkolenie - „Innowacyjność w produkcji rolnej czynnikiem zmniejszenia zużycia zasobów”, warsztaty - Etno-design – Dochodowa tradycja</t>
        </r>
      </text>
    </comment>
    <comment ref="F179" authorId="0" shapeId="0">
      <text>
        <r>
          <rPr>
            <b/>
            <sz val="9"/>
            <color indexed="81"/>
            <rFont val="Tahoma"/>
            <family val="2"/>
            <charset val="238"/>
          </rPr>
          <t>Sacharczuk Ewa:</t>
        </r>
        <r>
          <rPr>
            <sz val="9"/>
            <color indexed="81"/>
            <rFont val="Tahoma"/>
            <family val="2"/>
            <charset val="238"/>
          </rPr>
          <t xml:space="preserve">
spotkanie szkoleniowo-informacyjne</t>
        </r>
      </text>
    </comment>
    <comment ref="F181" authorId="0" shapeId="0">
      <text>
        <r>
          <rPr>
            <b/>
            <sz val="9"/>
            <color indexed="81"/>
            <rFont val="Tahoma"/>
            <family val="2"/>
            <charset val="238"/>
          </rPr>
          <t>Sacharczuk Ewa:</t>
        </r>
        <r>
          <rPr>
            <sz val="9"/>
            <color indexed="81"/>
            <rFont val="Tahoma"/>
            <family val="2"/>
            <charset val="238"/>
          </rPr>
          <t xml:space="preserve">
3 - Spotkania informacyjne, 1 Seminarium, 2 Forum, 1 Konferencja, 1 Zajęcia edukacyjne, 1 - Seminarium/warsztat (Wieprzowina"</t>
        </r>
      </text>
    </comment>
    <comment ref="C190" authorId="0" shapeId="0">
      <text>
        <r>
          <rPr>
            <b/>
            <sz val="9"/>
            <color indexed="81"/>
            <rFont val="Tahoma"/>
            <family val="2"/>
            <charset val="238"/>
          </rPr>
          <t>Sacharczuk Ewa:</t>
        </r>
        <r>
          <rPr>
            <sz val="9"/>
            <color indexed="81"/>
            <rFont val="Tahoma"/>
            <family val="2"/>
            <charset val="238"/>
          </rPr>
          <t xml:space="preserve">
Kategoria "inne" obejmuje mieszkańców obszarów wiejskich, przedstawicieli IW oraz dziennikarzy.</t>
        </r>
      </text>
    </comment>
  </commentList>
</comments>
</file>

<file path=xl/comments4.xml><?xml version="1.0" encoding="utf-8"?>
<comments xmlns="http://schemas.openxmlformats.org/spreadsheetml/2006/main">
  <authors>
    <author>Milczarek-Bortnowska Dominika</author>
  </authors>
  <commentList>
    <comment ref="K65" authorId="0" shapeId="0">
      <text>
        <r>
          <rPr>
            <b/>
            <sz val="9"/>
            <color indexed="81"/>
            <rFont val="Tahoma"/>
            <family val="2"/>
            <charset val="238"/>
          </rPr>
          <t>Milczarek-Bortnowska Dominika:</t>
        </r>
        <r>
          <rPr>
            <sz val="9"/>
            <color indexed="81"/>
            <rFont val="Tahoma"/>
            <family val="2"/>
            <charset val="238"/>
          </rPr>
          <t xml:space="preserve">
Monitor oraz EUROProwincja</t>
        </r>
      </text>
    </comment>
  </commentList>
</comments>
</file>

<file path=xl/comments5.xml><?xml version="1.0" encoding="utf-8"?>
<comments xmlns="http://schemas.openxmlformats.org/spreadsheetml/2006/main">
  <authors>
    <author>d.mularczyk</author>
  </authors>
  <commentList>
    <comment ref="L213" authorId="0" shapeId="0">
      <text>
        <r>
          <rPr>
            <b/>
            <sz val="9"/>
            <color indexed="81"/>
            <rFont val="Tahoma"/>
            <family val="2"/>
            <charset val="238"/>
          </rPr>
          <t>d.mularczyk:</t>
        </r>
        <r>
          <rPr>
            <sz val="9"/>
            <color indexed="81"/>
            <rFont val="Tahoma"/>
            <family val="2"/>
            <charset val="238"/>
          </rPr>
          <t xml:space="preserve">
niezgodność z załącznikiem 1</t>
        </r>
      </text>
    </comment>
  </commentList>
</comments>
</file>

<file path=xl/comments6.xml><?xml version="1.0" encoding="utf-8"?>
<comments xmlns="http://schemas.openxmlformats.org/spreadsheetml/2006/main">
  <authors>
    <author>d.mularczyk</author>
  </authors>
  <commentList>
    <comment ref="R180" authorId="0" shapeId="0">
      <text>
        <r>
          <rPr>
            <b/>
            <sz val="9"/>
            <color indexed="81"/>
            <rFont val="Tahoma"/>
            <family val="2"/>
            <charset val="238"/>
          </rPr>
          <t>d.mularczyk:</t>
        </r>
        <r>
          <rPr>
            <sz val="9"/>
            <color indexed="81"/>
            <rFont val="Tahoma"/>
            <family val="2"/>
            <charset val="238"/>
          </rPr>
          <t xml:space="preserve">
czy dni szkoleniowych tyle samo co szkoleń? </t>
        </r>
      </text>
    </comment>
  </commentList>
</comments>
</file>

<file path=xl/sharedStrings.xml><?xml version="1.0" encoding="utf-8"?>
<sst xmlns="http://schemas.openxmlformats.org/spreadsheetml/2006/main" count="9836" uniqueCount="598">
  <si>
    <t>Wspólna Statystyka Sieci Obszarów Wiejskich</t>
  </si>
  <si>
    <t>Agencja Restrukturyzacji i Modernizacji Rolnictwa</t>
  </si>
  <si>
    <t>Ogólne Wytyczne</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</si>
  <si>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Dostępność danych</t>
    </r>
    <r>
      <rPr>
        <b/>
        <sz val="12"/>
        <color indexed="8"/>
        <rFont val="Calibri"/>
        <family val="2"/>
      </rPr>
      <t xml:space="preserve">
</t>
    </r>
    <r>
      <rPr>
        <sz val="12"/>
        <color indexed="8"/>
        <rFont val="Calibri"/>
        <family val="2"/>
        <charset val="238"/>
      </rPr>
      <t>Nie wszystkie wskaźniki odnoszą się do wszystkich podmiotów i w wielu przypadkach dane mogą być niedostępne np. niezbierane w poprzednich latach.</t>
    </r>
    <r>
      <rPr>
        <b/>
        <sz val="12"/>
        <color indexed="8"/>
        <rFont val="Calibri"/>
        <family val="2"/>
      </rPr>
      <t xml:space="preserve"> </t>
    </r>
    <r>
      <rPr>
        <sz val="12"/>
        <color indexed="8"/>
        <rFont val="Calibri"/>
        <family val="2"/>
      </rPr>
      <t xml:space="preserve"> W przypadku, kiedy nie jest możliwe podanie wartości wybranych mierników/wskaźników (brak danych) lub sieć nie prowadzi określonych działań, prosimy o posługiwanie się następującymi skrótami:
BD = brak danych; sieć prowadzi takie działania ale konkretne dane nie zostały zebrane w l. 2014 -2015 r.  
ND = nie dotyczy; ten typ działań nie jest planowany przez podmiot
0 = sieć planuje określone działania, ale w danym roku nie miały one miejsca                                                                                                                                   </t>
    </r>
  </si>
  <si>
    <t>1. Wydarzenia</t>
  </si>
  <si>
    <t>Zasięg geograficzny</t>
  </si>
  <si>
    <t>Zakres tematyczny (w tym)</t>
  </si>
  <si>
    <t>1.1 Liczba zorganizowanych wydarzeń</t>
  </si>
  <si>
    <r>
      <t>Komentarze</t>
    </r>
    <r>
      <rPr>
        <sz val="10"/>
        <color indexed="8"/>
        <rFont val="Calibri"/>
        <family val="2"/>
      </rPr>
      <t xml:space="preserve"> (proszę wskazać ewentualne trudności związane z interpretacją definicji/wskaźników; proszę wskazać co jest rozumiane przez kategorię "inne")</t>
    </r>
  </si>
  <si>
    <t>Rok</t>
  </si>
  <si>
    <t>lokalny/regionalny</t>
  </si>
  <si>
    <t>krajowy</t>
  </si>
  <si>
    <t>międzynarodowy</t>
  </si>
  <si>
    <t>SUMA</t>
  </si>
  <si>
    <t>przeznaczone dla doradców i/lub usługi wspierające innowacje (P1)</t>
  </si>
  <si>
    <t>z naciskiem na żywotność i konkurencyjność gospodarstw rolnych, łańcuch żywnościowy, przetwórstwo i marketing, zarządzanie ryzykiem (P2 i P3)</t>
  </si>
  <si>
    <t>z naciskiem na zarządzanie ekosystemami, zasoby naturalne i klimat (P4 i P5)</t>
  </si>
  <si>
    <t>z naciskiem na włączenie społeczne, redukcja ubóstwa (P6)</t>
  </si>
  <si>
    <t xml:space="preserve">z naciskiem na LEADER/RLKS i LGD (włączając współpracę) (P6) </t>
  </si>
  <si>
    <t>z których przeznaczone dla LGD włączając wsparcie współpracy (P6)</t>
  </si>
  <si>
    <t>z naciskiem na upowszechnianie wyników monitoringu i ewaluacji</t>
  </si>
  <si>
    <t>Inne lub mieszane (proszę doprecyzuj w komentarzach)</t>
  </si>
  <si>
    <r>
      <rPr>
        <b/>
        <sz val="10"/>
        <color indexed="18"/>
        <rFont val="Calibri"/>
        <family val="2"/>
        <charset val="238"/>
      </rPr>
      <t>Wytyczne:</t>
    </r>
    <r>
      <rPr>
        <sz val="10"/>
        <color indexed="8"/>
        <rFont val="Calibri"/>
        <family val="2"/>
      </rPr>
      <t xml:space="preserve">
</t>
    </r>
    <r>
      <rPr>
        <u/>
        <sz val="10"/>
        <color indexed="8"/>
        <rFont val="Calibri"/>
        <family val="2"/>
        <charset val="238"/>
      </rPr>
      <t>Ogólne:</t>
    </r>
    <r>
      <rPr>
        <sz val="10"/>
        <color indexed="8"/>
        <rFont val="Calibri"/>
        <family val="2"/>
      </rPr>
      <t xml:space="preserve"> Kategoria powinna zawierać liczbę wy</t>
    </r>
    <r>
      <rPr>
        <sz val="10"/>
        <rFont val="Calibri"/>
        <family val="2"/>
        <charset val="238"/>
      </rPr>
      <t xml:space="preserve">darzeń, w tym konferencje, seminaria, wydarzenia grup tematycznych, wydarzenia szkoleniowe </t>
    </r>
    <r>
      <rPr>
        <sz val="10"/>
        <color indexed="8"/>
        <rFont val="Calibri"/>
        <family val="2"/>
      </rPr>
      <t>itp. a także wydarzenia o charakterze promocyjnym takie jak targi, wystawy, które orga</t>
    </r>
    <r>
      <rPr>
        <sz val="10"/>
        <rFont val="Calibri"/>
        <family val="2"/>
        <charset val="238"/>
      </rPr>
      <t xml:space="preserve">nizuje sieć lub w przypadku których sieć jest jednym z głównych organizatorów. 
</t>
    </r>
    <r>
      <rPr>
        <u/>
        <sz val="10"/>
        <rFont val="Calibri"/>
        <family val="2"/>
        <charset val="238"/>
      </rPr>
      <t>Zasięg geograficzny:</t>
    </r>
    <r>
      <rPr>
        <sz val="10"/>
        <rFont val="Calibri"/>
        <family val="2"/>
        <charset val="238"/>
      </rPr>
      <t xml:space="preserve"> liczba </t>
    </r>
    <r>
      <rPr>
        <b/>
        <sz val="10"/>
        <rFont val="Calibri"/>
        <family val="2"/>
        <charset val="238"/>
      </rPr>
      <t xml:space="preserve">wydarzeń lokalnych/regionalnych  </t>
    </r>
    <r>
      <rPr>
        <sz val="10"/>
        <rFont val="Calibri"/>
        <family val="2"/>
        <charset val="238"/>
      </rPr>
      <t>to te, których uczestnicy zapraszani są głównie z określonego regionu</t>
    </r>
    <r>
      <rPr>
        <b/>
        <sz val="10"/>
        <rFont val="Calibri"/>
        <family val="2"/>
        <charset val="238"/>
      </rPr>
      <t xml:space="preserve">; wydarzenia krajowe - </t>
    </r>
    <r>
      <rPr>
        <sz val="10"/>
        <rFont val="Calibri"/>
        <family val="2"/>
        <charset val="238"/>
      </rPr>
      <t xml:space="preserve">uczestnicy z różnych regionów kraju; </t>
    </r>
    <r>
      <rPr>
        <b/>
        <sz val="10"/>
        <rFont val="Calibri"/>
        <family val="2"/>
        <charset val="238"/>
      </rPr>
      <t xml:space="preserve">wydarzenia międzynarodowe, </t>
    </r>
    <r>
      <rPr>
        <sz val="10"/>
        <rFont val="Calibri"/>
        <family val="2"/>
        <charset val="238"/>
      </rPr>
      <t>gdy dużą liczbę</t>
    </r>
    <r>
      <rPr>
        <b/>
        <sz val="10"/>
        <rFont val="Calibri"/>
        <family val="2"/>
        <charset val="238"/>
      </rPr>
      <t xml:space="preserve"> </t>
    </r>
    <r>
      <rPr>
        <sz val="10"/>
        <rFont val="Calibri"/>
        <family val="2"/>
        <charset val="238"/>
      </rPr>
      <t xml:space="preserve"> uczestników stanowią goście z zagranicy.
</t>
    </r>
    <r>
      <rPr>
        <u/>
        <sz val="10"/>
        <rFont val="Calibri"/>
        <family val="2"/>
        <charset val="238"/>
      </rPr>
      <t>Zakres tematyczny:</t>
    </r>
    <r>
      <rPr>
        <sz val="10"/>
        <rFont val="Calibri"/>
        <family val="2"/>
        <charset val="238"/>
      </rPr>
      <t xml:space="preserve"> wydarzenia powinny być zakwalifikowane do poszczególnych kategorii tematycznych w przypadku kiedy: - rzeczywiście istniał ścisły związek danego spotkania z określonym tematem (np. cała sesja na dany temat a nie tylko jedna prezentacja). - była nakierowana na konkretną grupę  (tj. doradcy i/lub usługi wspierające innowacje lub LGD), tzn. większość uczestników reprezentuje te grupy. Jedno wydarzenie może dotyczyć więcej niż jednego tematu tzn., że ilość wszystkich wydarzeń nie musi być sumą wydarzeń w poszczególnych tematach. </t>
    </r>
  </si>
  <si>
    <t>1.2 Liczba uczestników wydarzeń</t>
  </si>
  <si>
    <r>
      <rPr>
        <b/>
        <sz val="10"/>
        <color indexed="18"/>
        <rFont val="Calibri"/>
        <family val="2"/>
        <charset val="238"/>
      </rPr>
      <t>Wytyczne:</t>
    </r>
    <r>
      <rPr>
        <sz val="10"/>
        <color indexed="8"/>
        <rFont val="Calibri"/>
        <family val="2"/>
      </rPr>
      <t xml:space="preserve">
Dotyczy liczby uczestników wydarzeń ze wskaźnika 1.1. Jeśli to możliwe proszę podać liczbę uczestników obecnych podczas spotkania na podstawie podpisanych list obecności . Jeśli to nie jest możliwe proszę użyć danych z formularzy rejestracyjnych  (liczbę zgłoszonych uczestników).                                                                                                                  </t>
    </r>
    <r>
      <rPr>
        <u/>
        <sz val="10"/>
        <color indexed="8"/>
        <rFont val="Calibri"/>
        <family val="2"/>
        <charset val="238"/>
      </rPr>
      <t>Definicja zasiegu geograficznego</t>
    </r>
    <r>
      <rPr>
        <sz val="10"/>
        <color indexed="8"/>
        <rFont val="Calibri"/>
        <family val="2"/>
      </rPr>
      <t xml:space="preserve"> - patrz wskaźnik 1.1 . </t>
    </r>
  </si>
  <si>
    <t>2. Narzędzia komunikacji</t>
  </si>
  <si>
    <t>2.1 Statystyki strony internetowej</t>
  </si>
  <si>
    <r>
      <rPr>
        <b/>
        <sz val="14"/>
        <color indexed="8"/>
        <rFont val="Calibri"/>
        <family val="2"/>
        <charset val="238"/>
      </rPr>
      <t>Komentarze</t>
    </r>
    <r>
      <rPr>
        <sz val="10"/>
        <color indexed="8"/>
        <rFont val="Calibri"/>
        <family val="2"/>
      </rPr>
      <t xml:space="preserve"> (proszę wskazać ewentualne trudności związane z interpretacją definicji/wskaźników; proszę wskazać co jest rozumiane przez kategorię "inne")</t>
    </r>
  </si>
  <si>
    <t>Liczba odwiedzin strony</t>
  </si>
  <si>
    <t>Liczba unikalnych użytkowników strony</t>
  </si>
  <si>
    <r>
      <rPr>
        <b/>
        <sz val="10"/>
        <color indexed="60"/>
        <rFont val="Calibri"/>
        <family val="2"/>
        <charset val="238"/>
      </rPr>
      <t>Wytyczne:</t>
    </r>
    <r>
      <rPr>
        <sz val="10"/>
        <color indexed="8"/>
        <rFont val="Calibri"/>
        <family val="2"/>
      </rPr>
      <t xml:space="preserve">
Statystyki odwiedzin strony internetowej za dany okres. Proszę wskazać w komentarzu jak liczone są wskażniki  (np. jeśli używane są statystyki google lub inne narzędzia danych statystycznych)</t>
    </r>
  </si>
  <si>
    <t>Dane z Google Analytics</t>
  </si>
  <si>
    <t>2.2 Media społecznościowe i fora internetowe</t>
  </si>
  <si>
    <r>
      <t xml:space="preserve">Komentarze </t>
    </r>
    <r>
      <rPr>
        <sz val="10"/>
        <color indexed="8"/>
        <rFont val="Calibri"/>
        <family val="2"/>
      </rPr>
      <t>(proszę wskazać ewentualne trudności związane z interpretacją definicji/wskaźników; proszę wskazać co jest rozumiane przez kategorię "inne")</t>
    </r>
  </si>
  <si>
    <t>Liczba używanych mediów społecznościowych</t>
  </si>
  <si>
    <t>Liczba założonych platform elektronicznych (e-forums)</t>
  </si>
  <si>
    <t>Liczba forów dyskusyjnych (w tym grup na facebooku i grupy dyskusyjne linkeldin)</t>
  </si>
  <si>
    <t>Liczba fanów na facebooku</t>
  </si>
  <si>
    <t>Liczba obserwujących Twitter</t>
  </si>
  <si>
    <t>Liczba tweetów (włączając re- tweety)</t>
  </si>
  <si>
    <t>Liczba postów na facebooku (wliczając udostępnienia)</t>
  </si>
  <si>
    <t>Liczba odwiedzin na stronie przekierowanych łącznie ze wszystkich mediów społecznościowych</t>
  </si>
  <si>
    <r>
      <rPr>
        <b/>
        <sz val="10"/>
        <color indexed="60"/>
        <rFont val="Calibri"/>
        <family val="2"/>
        <charset val="238"/>
      </rPr>
      <t xml:space="preserve">WYTYCZNE:
</t>
    </r>
    <r>
      <rPr>
        <b/>
        <sz val="10"/>
        <color indexed="8"/>
        <rFont val="Calibri"/>
        <family val="2"/>
      </rPr>
      <t xml:space="preserve">
Media społecznościowe </t>
    </r>
    <r>
      <rPr>
        <sz val="10"/>
        <color indexed="8"/>
        <rFont val="Calibri"/>
        <family val="2"/>
        <charset val="238"/>
      </rPr>
      <t>należy rozumieć jako:</t>
    </r>
    <r>
      <rPr>
        <sz val="10"/>
        <color indexed="8"/>
        <rFont val="Calibri"/>
        <family val="2"/>
      </rPr>
      <t xml:space="preserve"> facebook, twitter, linkedin, instagram, youtube itp. proszę wymienić w "K</t>
    </r>
    <r>
      <rPr>
        <i/>
        <sz val="10"/>
        <color indexed="8"/>
        <rFont val="Calibri"/>
        <family val="2"/>
        <charset val="238"/>
      </rPr>
      <t xml:space="preserve">omentarzu", </t>
    </r>
    <r>
      <rPr>
        <sz val="10"/>
        <color indexed="8"/>
        <rFont val="Calibri"/>
        <family val="2"/>
        <charset val="238"/>
      </rPr>
      <t>które z ww. mediów są używane lub nazwy innych wykorzystywanych kanałów społecznościowych</t>
    </r>
    <r>
      <rPr>
        <sz val="10"/>
        <color indexed="8"/>
        <rFont val="Calibri"/>
        <family val="2"/>
      </rPr>
      <t xml:space="preserve">.  Proszę wykazać jedynie profile/strony/konta jednostki wspierającej sieci, a nie konta osobste pracowników. Proszę tu nie wliczać grup na facebooku oraz grup dyskusyjnych na linkedin (one będą poniżej w e-forum).
</t>
    </r>
    <r>
      <rPr>
        <u/>
        <sz val="10"/>
        <color indexed="8"/>
        <rFont val="Calibri"/>
        <family val="2"/>
        <charset val="238"/>
      </rPr>
      <t>E-forums</t>
    </r>
    <r>
      <rPr>
        <sz val="10"/>
        <color indexed="8"/>
        <rFont val="Calibri"/>
        <family val="2"/>
        <charset val="238"/>
      </rPr>
      <t xml:space="preserve"> - specyficzne platformy umożliwiajace wymianę on-line pomiędzy partnerami sieci utworzone przez jednostkę wsparcia sieci (w tym grupy na facebooku i grupy dyskusyjne linkedin). P</t>
    </r>
    <r>
      <rPr>
        <sz val="10"/>
        <color indexed="8"/>
        <rFont val="Calibri"/>
        <family val="2"/>
      </rPr>
      <t xml:space="preserve">roszę wskazać liczbę forów dyskusyjnych założonych przez jednostkę wsparcia sieci na platformach.
</t>
    </r>
    <r>
      <rPr>
        <u/>
        <sz val="10"/>
        <color indexed="8"/>
        <rFont val="Calibri"/>
        <family val="2"/>
        <charset val="238"/>
      </rPr>
      <t xml:space="preserve">
Liczba fanów na Facebooku oraz liczba obserwujących Twitter</t>
    </r>
    <r>
      <rPr>
        <sz val="10"/>
        <color indexed="8"/>
        <rFont val="Calibri"/>
        <family val="2"/>
        <charset val="238"/>
      </rPr>
      <t xml:space="preserve">. Proszę przyjąć liczbę bazową na 1.01.2014 r. </t>
    </r>
    <r>
      <rPr>
        <sz val="10"/>
        <color indexed="8"/>
        <rFont val="Calibri"/>
        <family val="2"/>
      </rPr>
      <t xml:space="preserve">
</t>
    </r>
    <r>
      <rPr>
        <u/>
        <sz val="10"/>
        <color indexed="8"/>
        <rFont val="Calibri"/>
        <family val="2"/>
        <charset val="238"/>
      </rPr>
      <t>Liczba wizyt na stronie przekierowanych z mediów społecznościowych</t>
    </r>
    <r>
      <rPr>
        <sz val="10"/>
        <color indexed="8"/>
        <rFont val="Calibri"/>
        <family val="2"/>
      </rPr>
      <t xml:space="preserve"> powinna pochodzić z webanalitics.</t>
    </r>
  </si>
  <si>
    <t>1.01.2014 (bazowy)</t>
  </si>
  <si>
    <t>2.3 Liczba publikacji</t>
  </si>
  <si>
    <t>Liczba publikacji</t>
  </si>
  <si>
    <r>
      <rPr>
        <b/>
        <sz val="10"/>
        <color indexed="60"/>
        <rFont val="Calibri"/>
        <family val="2"/>
        <charset val="238"/>
      </rPr>
      <t>WYTYCZNE:</t>
    </r>
    <r>
      <rPr>
        <sz val="10"/>
        <color indexed="8"/>
        <rFont val="Calibri"/>
        <family val="2"/>
      </rPr>
      <t xml:space="preserve">
</t>
    </r>
    <r>
      <rPr>
        <u/>
        <sz val="10"/>
        <color indexed="8"/>
        <rFont val="Calibri"/>
        <family val="2"/>
        <charset val="238"/>
      </rPr>
      <t>Liczba publikacji wytworzonych przez jednostkę wsparcia sieci:</t>
    </r>
    <r>
      <rPr>
        <sz val="10"/>
        <color indexed="8"/>
        <rFont val="Calibri"/>
        <family val="2"/>
        <charset val="238"/>
      </rPr>
      <t xml:space="preserve"> dotyczy czasopism, przeglądów, newsletterów, ulotek, broszur, publikacji elektronicznych (proszę nie wliczać studium przypadku lub fiszek informacyjnych np. przykładów dobrych praktyk, będących cząścią innego opracowania); publikacja nie może być liczona dwukrotnie w przypadku, gdy powstała w dwóch wersjach: papierowej i elektronicznej.
</t>
    </r>
    <r>
      <rPr>
        <sz val="10"/>
        <color indexed="8"/>
        <rFont val="Calibri"/>
        <family val="2"/>
      </rPr>
      <t xml:space="preserve">
</t>
    </r>
    <r>
      <rPr>
        <u/>
        <sz val="10"/>
        <color indexed="8"/>
        <rFont val="Calibri"/>
        <family val="2"/>
      </rPr>
      <t xml:space="preserve">Zakres tematyczny: </t>
    </r>
    <r>
      <rPr>
        <sz val="10"/>
        <color indexed="8"/>
        <rFont val="Calibri"/>
        <family val="2"/>
        <charset val="238"/>
      </rPr>
      <t xml:space="preserve">Publikacje powinny być zawarte w poszczególnych kategoriach tematycznych jeżeli istnieje ścisły związek publikacji z określonym tematem (np. cała sekcja/rozdział poświęcony danemu tematowi a nie tylko jeden artykuł). Jedna publikacja może dotyczyć więcej niż jednego tematu tzn., że liczba wszystkich publikacji nie musi być sumą publikacji w poszczególnych tematach.                                                                                                                                                                                
</t>
    </r>
  </si>
  <si>
    <t>2.4 Liczba multimediów i innych narzędzi komunikacji</t>
  </si>
  <si>
    <r>
      <t xml:space="preserve">Komentarze </t>
    </r>
    <r>
      <rPr>
        <sz val="10"/>
        <color indexed="8"/>
        <rFont val="Calibri"/>
        <family val="2"/>
        <charset val="238"/>
      </rPr>
      <t>(proszę wskazać ewentualne trudności związane z interpretacją definicji/wskaźników; proszę wskazać co jest rozumiane przez kategorię "inne")</t>
    </r>
  </si>
  <si>
    <t>Liczba filmów/ programów telewizyjnych/audycji radiowych</t>
  </si>
  <si>
    <t xml:space="preserve">Liczba konkursów/ kategorii konkursowych </t>
  </si>
  <si>
    <r>
      <t>Liczba innych narzędzi komunikacyjnych - proszę określić jakich w "</t>
    </r>
    <r>
      <rPr>
        <i/>
        <sz val="10"/>
        <color indexed="8"/>
        <rFont val="Calibri"/>
        <family val="2"/>
        <charset val="238"/>
      </rPr>
      <t>Komentarzu"</t>
    </r>
  </si>
  <si>
    <t>Całkowita liczba multimediów i innych narzędzi komunikacji</t>
  </si>
  <si>
    <r>
      <rPr>
        <b/>
        <sz val="10"/>
        <color indexed="60"/>
        <rFont val="Calibri"/>
        <family val="2"/>
        <charset val="238"/>
      </rPr>
      <t>WYTYCZNE:</t>
    </r>
    <r>
      <rPr>
        <sz val="10"/>
        <color indexed="8"/>
        <rFont val="Calibri"/>
        <family val="2"/>
      </rPr>
      <t xml:space="preserve">
</t>
    </r>
    <r>
      <rPr>
        <u/>
        <sz val="10"/>
        <color indexed="8"/>
        <rFont val="Calibri"/>
        <family val="2"/>
        <charset val="238"/>
      </rPr>
      <t>M</t>
    </r>
    <r>
      <rPr>
        <u/>
        <sz val="10"/>
        <color indexed="8"/>
        <rFont val="Calibri"/>
        <family val="2"/>
      </rPr>
      <t>ultimedia i inne narzędzia</t>
    </r>
    <r>
      <rPr>
        <sz val="10"/>
        <color indexed="8"/>
        <rFont val="Calibri"/>
        <family val="2"/>
      </rPr>
      <t xml:space="preserve">: można tu wpisać filmy, programy TV, audycje radiowe lub liczbę organizowanych przez jednostkę wsparcia sieci konkursów np. konkurs fotograficzny, konkurs na najlepszy projekt Leader; jeśli są organizowane specjalne wydarzenia związane z konkursami np. finały konkursów można wpisać je również w kategorii 1. </t>
    </r>
    <r>
      <rPr>
        <i/>
        <sz val="10"/>
        <color indexed="8"/>
        <rFont val="Calibri"/>
        <family val="2"/>
        <charset val="238"/>
      </rPr>
      <t xml:space="preserve">"Wydarzenia". </t>
    </r>
    <r>
      <rPr>
        <sz val="10"/>
        <color indexed="8"/>
        <rFont val="Calibri"/>
        <family val="2"/>
        <charset val="238"/>
      </rPr>
      <t xml:space="preserve">Jesli wykorzystywane są inne narzędzia komunikacyjne proszę podać je w kolumnie </t>
    </r>
    <r>
      <rPr>
        <i/>
        <sz val="10"/>
        <color indexed="8"/>
        <rFont val="Calibri"/>
        <family val="2"/>
        <charset val="238"/>
      </rPr>
      <t xml:space="preserve">"Inne" </t>
    </r>
    <r>
      <rPr>
        <sz val="10"/>
        <color indexed="8"/>
        <rFont val="Calibri"/>
        <family val="2"/>
        <charset val="238"/>
      </rPr>
      <t xml:space="preserve">i wskazać jakie to są narzędzia w </t>
    </r>
    <r>
      <rPr>
        <i/>
        <sz val="10"/>
        <color indexed="8"/>
        <rFont val="Calibri"/>
        <family val="2"/>
        <charset val="238"/>
      </rPr>
      <t>"Komentarzu".</t>
    </r>
    <r>
      <rPr>
        <sz val="10"/>
        <color indexed="8"/>
        <rFont val="Calibri"/>
        <family val="2"/>
      </rPr>
      <t xml:space="preserve">
</t>
    </r>
    <r>
      <rPr>
        <u/>
        <sz val="10"/>
        <color indexed="8"/>
        <rFont val="Calibri"/>
        <family val="2"/>
        <charset val="238"/>
      </rPr>
      <t>Zakres tematyczny:</t>
    </r>
    <r>
      <rPr>
        <sz val="10"/>
        <color indexed="8"/>
        <rFont val="Calibri"/>
        <family val="2"/>
      </rPr>
      <t xml:space="preserve"> patrz w pkt. 2.3                                                                                                                                                                                
</t>
    </r>
  </si>
  <si>
    <t>Ułatwienie transferu wiedzy i innowacji w rolnictwie i leśnictwie oraz na obszarach wiejskich. Informowanie społeczeństwa i potencjalnych beneficjentów o polityce rozwoju obszarów wiejskich i o możliwościach finansowania. www.arimr.gov.pl</t>
  </si>
  <si>
    <t>3. Zbieranie, analiza i upowszechnianie dobrych praktyk</t>
  </si>
  <si>
    <t xml:space="preserve">3.1 Liczba zebranych i upowszechnionych przykładów dobrej praktyki </t>
  </si>
  <si>
    <r>
      <t>Komentarze</t>
    </r>
    <r>
      <rPr>
        <b/>
        <sz val="10"/>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</si>
  <si>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t xml:space="preserve">Liczba dobrych praktyk </t>
  </si>
  <si>
    <t xml:space="preserve">Z naciskiem na transfer wiedzy i innowacyjność (P1) </t>
  </si>
  <si>
    <t>Z naciskiem na żywotność gospodarstw i konkurencyjność, łańcuch żywnościowy, przetwórstwo i marketing, zarządzanie ryzykiem (P2 i P3)</t>
  </si>
  <si>
    <t>Z naciskiem na zarządzanie ekosystemami, zasoby naturalne i klimat (P4 i P5)</t>
  </si>
  <si>
    <t>Z naciskiem na włączenie społeczne, redukcja ubóstwa (P6)</t>
  </si>
  <si>
    <t>Z naciskiem na LEADER/RLKS i LGD  (włączając współpracę) (P6)</t>
  </si>
  <si>
    <t>Z naciskiem na upowszechnianie wyników monitoringu i ewaluacji</t>
  </si>
  <si>
    <t>Inne tematy lub tematy mieszane  (proszę doprecyzuj w "Komentarzu")</t>
  </si>
  <si>
    <r>
      <t>WYTYCZNE:</t>
    </r>
    <r>
      <rPr>
        <sz val="10"/>
        <rFont val="Calibri"/>
        <family val="2"/>
        <charset val="238"/>
      </rPr>
      <t xml:space="preserve">
Liczba przykładów dobrej praktyki / studium przypadku zidentyfikowanych i upowszechnionych (co najmniej na stronie internetowej KSOW). Proszę unikać podwójnego liczenia, np. jeśli określony przykład pojawił się na stronie internetowej i w broszurze, policz go raz. Tylko przykłady opracowane jako case study i opublikowane na stronie internetowej KSOW mogą być brane pod uwagę. Proszę nie liczyć przykładów wymienionych w prezentacjach lub wspomnianych podczas wydarzeń. Oferty współpracy np. poszukiwania partnerów opisujemy w kategorii "Wsparcie dla współpracy"</t>
    </r>
  </si>
  <si>
    <t>4. Wymiany tematyczne i analityczne</t>
  </si>
  <si>
    <t>4.1 Liczba utworzonych grup tematycznych i zorganizowanych spotkań</t>
  </si>
  <si>
    <r>
      <t>Komentarze</t>
    </r>
    <r>
      <rPr>
        <sz val="12"/>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</si>
  <si>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t>Liczba tematycznych inicjatyw wg rodzajów aktywności</t>
  </si>
  <si>
    <t>Liczba grup tematycznych według głównego obszaru tematycznego w tym</t>
  </si>
  <si>
    <t>liczba grup tematycznych</t>
  </si>
  <si>
    <t>liczba spotkań grup tematycznych</t>
  </si>
  <si>
    <t>Z naciskiem na żywotność gospodarstw rolnych i konkurencyjność, łańcuch żywnościowy, przetwórstwo i marketing, zarządzanie ryzykiem (P2 i P3)</t>
  </si>
  <si>
    <t>z których przeznaczone dla LGD włączając wsparcie współpracy</t>
  </si>
  <si>
    <r>
      <rPr>
        <b/>
        <sz val="10"/>
        <color indexed="28"/>
        <rFont val="Calibri"/>
        <family val="2"/>
        <charset val="238"/>
      </rPr>
      <t>WYTYCZNE:</t>
    </r>
    <r>
      <rPr>
        <sz val="10"/>
        <color indexed="8"/>
        <rFont val="Calibri"/>
        <family val="2"/>
      </rPr>
      <t xml:space="preserve">
</t>
    </r>
    <r>
      <rPr>
        <u/>
        <sz val="10"/>
        <color indexed="8"/>
        <rFont val="Calibri"/>
        <family val="2"/>
        <charset val="238"/>
      </rPr>
      <t>Rodzaj aktywności:</t>
    </r>
    <r>
      <rPr>
        <sz val="10"/>
        <color indexed="8"/>
        <rFont val="Calibri"/>
        <family val="2"/>
        <charset val="238"/>
      </rPr>
      <t xml:space="preserve"> Proszę policzyć ilość grup tematycznych i spotkań organizowanych w ramach tych grup.
</t>
    </r>
    <r>
      <rPr>
        <u/>
        <sz val="10"/>
        <color indexed="8"/>
        <rFont val="Calibri"/>
        <family val="2"/>
        <charset val="238"/>
      </rPr>
      <t>Zakres tematyczny:</t>
    </r>
    <r>
      <rPr>
        <sz val="10"/>
        <color indexed="8"/>
        <rFont val="Calibri"/>
        <family val="2"/>
        <charset val="238"/>
      </rPr>
      <t xml:space="preserve"> proszę patrz wyżej, te same definicje mają zastosowanie. Należy wskazać główny obszar tematyczny, w jakim została grupa powołana. Proszę nie liczyć tematyki pojedynczych spotkań grupy jako odrębnej inicjatywy tematycznej.                                                                                                                                                                                                                      </t>
    </r>
    <r>
      <rPr>
        <sz val="10"/>
        <rFont val="Calibri"/>
        <family val="2"/>
        <charset val="238"/>
      </rPr>
      <t xml:space="preserve">W przypadku spotkań grup roboczych należy liczyć wyłącznie spotkania grupy.  Decyzje podjęte przez grupę roboczą w trybie obiegowym nie są traktowane jak spotkanie i nie moga być jako takie liczone. </t>
    </r>
  </si>
  <si>
    <t xml:space="preserve">4.2 Liczba konsultacji tematycznych </t>
  </si>
  <si>
    <t>Konsultacje tematyczne z partnerami (włączając grupy koordynacyjne)</t>
  </si>
  <si>
    <t>Liczba inicjatyw tematycznych według głównego obszaru tematycznego w tym</t>
  </si>
  <si>
    <r>
      <rPr>
        <b/>
        <sz val="10"/>
        <color indexed="28"/>
        <rFont val="Calibri"/>
        <family val="2"/>
        <charset val="238"/>
      </rPr>
      <t>WYTYCZNE:</t>
    </r>
    <r>
      <rPr>
        <sz val="10"/>
        <color indexed="8"/>
        <rFont val="Calibri"/>
        <family val="2"/>
      </rPr>
      <t xml:space="preserve">
</t>
    </r>
    <r>
      <rPr>
        <u/>
        <sz val="10"/>
        <color indexed="8"/>
        <rFont val="Calibri"/>
        <family val="2"/>
        <charset val="238"/>
      </rPr>
      <t>Ogólnie:</t>
    </r>
    <r>
      <rPr>
        <sz val="10"/>
        <color indexed="8"/>
        <rFont val="Calibri"/>
        <family val="2"/>
      </rPr>
      <t xml:space="preserve"> Konsultacje tematyczne organizowane są pomiędzy różnymi organizacjami partnerów / ich przedstawicielami w celu ułatwiania wymiany poglądów, pomysłów i doświadczeń na konkretne tematy (np. grupa koodynacyjna LEADER), często w celu poprawy wdrażania PROW. Proszę policzyć konsultacje tematyczne zorganizowane / wspierane przez sieć  (lub gdzie sieć odgrywa główna rolę w zarządzaniu konsultacjami).
                                                                                                                                                                                                                                                                           </t>
    </r>
    <r>
      <rPr>
        <u/>
        <sz val="10"/>
        <color indexed="8"/>
        <rFont val="Calibri"/>
        <family val="2"/>
        <charset val="238"/>
      </rPr>
      <t>Zakres tematyczny:</t>
    </r>
    <r>
      <rPr>
        <sz val="10"/>
        <color indexed="8"/>
        <rFont val="Calibri"/>
        <family val="2"/>
      </rPr>
      <t xml:space="preserve"> proszę patrz wyżej, te same definicje mają zastosowanie. </t>
    </r>
    <r>
      <rPr>
        <u/>
        <sz val="10"/>
        <color indexed="8"/>
        <rFont val="Calibri"/>
        <family val="2"/>
      </rPr>
      <t xml:space="preserve">
</t>
    </r>
  </si>
  <si>
    <t>4.3 Liczba utworzonych innych inicjatyw tematycznych</t>
  </si>
  <si>
    <t>Inne (włączając inicjatywy badawcze dotyczące określonych tematów, fora internetowe, szkolenia tematyczne)</t>
  </si>
  <si>
    <r>
      <rPr>
        <b/>
        <sz val="10"/>
        <color indexed="28"/>
        <rFont val="Calibri"/>
        <family val="2"/>
        <charset val="238"/>
      </rPr>
      <t>WYTYCZNE:</t>
    </r>
    <r>
      <rPr>
        <sz val="10"/>
        <color indexed="8"/>
        <rFont val="Calibri"/>
        <family val="2"/>
      </rPr>
      <t xml:space="preserve">
Proszę policz inne rodzaje inicjatyw tematycznych. Fora internetowe i szkolenia mogą być policzone podwójnie, tzn.  mogą być podane tutaj oraz we wskażniku 2.1 (media społecznosciowe) oraz we wskażniku 6.1 (szkolenia). Proszę podaj w komentarzach jakie inne inicjatywy tematyczne są brane pod uwagę.
Zakres tematyczny: patrz wskaźnik 1.1 .</t>
    </r>
    <r>
      <rPr>
        <u/>
        <sz val="10"/>
        <color indexed="8"/>
        <rFont val="Calibri"/>
        <family val="2"/>
      </rPr>
      <t/>
    </r>
  </si>
  <si>
    <t>4.4 Liczba osób zaangażowanych w poszczególne inicjatywy</t>
  </si>
  <si>
    <t>Liczba osób według typu inicjatywy</t>
  </si>
  <si>
    <t>Grupy tematyczne</t>
  </si>
  <si>
    <t>tematyczne grupy konsultacyjne z partnerami (włączając grupy koordynacyjne)</t>
  </si>
  <si>
    <t>Inne (włączając inicjatywy badawcze dotyczące określonych tematów, fora internetowe)</t>
  </si>
  <si>
    <r>
      <rPr>
        <b/>
        <sz val="10"/>
        <color indexed="54"/>
        <rFont val="Calibri"/>
        <family val="2"/>
        <charset val="238"/>
      </rPr>
      <t>WYTYCZNE:</t>
    </r>
    <r>
      <rPr>
        <sz val="10"/>
        <color indexed="8"/>
        <rFont val="Calibri"/>
        <family val="2"/>
      </rPr>
      <t xml:space="preserve">
</t>
    </r>
    <r>
      <rPr>
        <u/>
        <sz val="10"/>
        <rFont val="Calibri"/>
        <family val="2"/>
        <charset val="238"/>
      </rPr>
      <t xml:space="preserve">Uczestnicy według typu inicjatywy: </t>
    </r>
    <r>
      <rPr>
        <sz val="10"/>
        <rFont val="Calibri"/>
        <family val="2"/>
        <charset val="238"/>
      </rPr>
      <t xml:space="preserve">Proszę policzyć członków inicjatyw tematycznych (wymienionych w tabeli wyżej w punkcie 4.1.) Członkiem incjatywy jest każdy kto conajmniej raz wziął udział w aktywności inicjatywy tematycznej (np. uczestniczył w spotkaniu grupy tematycznej, miał wkład w przygotowanie raportu z prac grupy tematycznej). Jeżeli osoba uczestniczyła w więcej niż jednej aktywności tej samej inicjatywy tematycznej należy ją liczyć tylko raz. Jeżeli ta sama osoba brała udział w dwóch róznych inicjatywach tematycznych proszę liczyć podwójnie (jak dwie osoby).  Proszę oddzielnie policzyć liczbę osób uczestniczących w spotkaniach grup tematycznych. Jeżeli ten sam członek inicjatywy tematycznej brał udział w dwóch spotkaniach powinien być liczony podwójnie (osobno dla każdego spotkania). 
</t>
    </r>
  </si>
  <si>
    <t>5. Współpraca i wkład do działań ENRD i EIP</t>
  </si>
  <si>
    <t>5.1 Liczba działań ENRD i EIP-AGRI, w których podmioty brały udział</t>
  </si>
  <si>
    <t>Rodzaj inicjatywy</t>
  </si>
  <si>
    <t>Całkowita liczba wydarzeń/inicjatyw według głównego organizatora</t>
  </si>
  <si>
    <t>Liczba inicjatyw tematycznych</t>
  </si>
  <si>
    <t>Liczba spotkań w ramach inicjatyw tematycznych (np. spotkania grup tematycznych)</t>
  </si>
  <si>
    <t>Liczba spotkań sieci Państw Członkowskich UE</t>
  </si>
  <si>
    <t>Liczba seminariów/ konferencji</t>
  </si>
  <si>
    <t>Inne wydarzenia (włączając Komitet Sterujący, Zgromadzenie ogólne, itp. Proszę określ inne wydarzenia w Komentarzach)</t>
  </si>
  <si>
    <t>Całkowita liczba inicjatyw, w których uczestniczyli przedstawiciele podmiotu lub partnerzy sieci</t>
  </si>
  <si>
    <t xml:space="preserve"> ...ENRD CP</t>
  </si>
  <si>
    <t>z których przedstawiciele podmiotu lub partnerzy sieci mieli aktywny wkład</t>
  </si>
  <si>
    <t>… Evaluation HD</t>
  </si>
  <si>
    <t>…EIP SP</t>
  </si>
  <si>
    <r>
      <rPr>
        <b/>
        <sz val="10"/>
        <color indexed="17"/>
        <rFont val="Calibri"/>
        <family val="2"/>
        <charset val="238"/>
      </rPr>
      <t>WYTYCZNE:</t>
    </r>
    <r>
      <rPr>
        <sz val="10"/>
        <color indexed="28"/>
        <rFont val="Calibri"/>
        <family val="2"/>
        <charset val="238"/>
      </rPr>
      <t xml:space="preserve">
Ten wskaźnik dotyczy wsparcia działań trzech jednostek organizacyjnych europejskiej sieci, tj. Punktu Kontaktowego ENRD (ENRD CP), Helpdesk ds. Ewaluacji (Evaluation HD) oraz EIP AGRI Service Point (EIP-SP) przez sieci Państw Członkowskich UE. Należy brać pod uwagę udział przedstawicieli podmiotów zaangażowanych  w realizację zadań KSOW i innych reprezentantów sieci (w tym partnerów) podczas różnych wydarzeń. Jeśli przedstawiciel sieci uczestniczy we wspólnym wydarzeniu zorganizowanym przez więcej niż jedną jednostkę , to można policzyć to dla obu jednostek  tzn., całkowita liczba inicjatyw jednostek europejskiej sieci nie dodaje sie to całkowitej liczby inicjatyw w których sieci uczestniczyły.
</t>
    </r>
    <r>
      <rPr>
        <u/>
        <sz val="10"/>
        <color indexed="28"/>
        <rFont val="Calibri"/>
        <family val="2"/>
        <charset val="238"/>
      </rPr>
      <t>Liczba inicjatyw:</t>
    </r>
    <r>
      <rPr>
        <sz val="10"/>
        <color indexed="28"/>
        <rFont val="Calibri"/>
        <family val="2"/>
        <charset val="238"/>
      </rPr>
      <t xml:space="preserve">  Policz liczbę inicjatyw, w których uczestniczyli przedstawiciele sieci, a nie liczbę osób biorących udział w danej inicjatywie. Jeżeli jeden uczestnik brał udział w dwóch spotkaniach tej samej grupy tematycznej to powinien być liczony pojedynczo w kolumnie "Liczba inicjatyw tematycznych" i podwójnie w kolumnie "Liczba spotkań w ramach inicjatywy tematycznej".                                                                                                                                                                     
</t>
    </r>
    <r>
      <rPr>
        <u/>
        <sz val="10"/>
        <color indexed="28"/>
        <rFont val="Calibri"/>
        <family val="2"/>
        <charset val="238"/>
      </rPr>
      <t>Liczba spotkań:</t>
    </r>
    <r>
      <rPr>
        <sz val="10"/>
        <color indexed="28"/>
        <rFont val="Calibri"/>
        <family val="2"/>
        <charset val="238"/>
      </rPr>
      <t xml:space="preserve"> Policz liczbę spotkań, w której brał udział przedstawiciel sieci np. jeżeli 3 uczestników brało udzial w 2 spotkaniach w kolumnie "Liczba spotkań w ramach inicjatywy tematycznej" należy wpisać 2. Proszę nie liczyć pojedynczych spotkań grupy tematycznej jako odrębnej inicjatywy tematycznej.
</t>
    </r>
    <r>
      <rPr>
        <u/>
        <sz val="10"/>
        <color indexed="28"/>
        <rFont val="Calibri"/>
        <family val="2"/>
        <charset val="238"/>
      </rPr>
      <t>Aktywny wkład:</t>
    </r>
    <r>
      <rPr>
        <sz val="10"/>
        <color indexed="28"/>
        <rFont val="Calibri"/>
        <family val="2"/>
        <charset val="238"/>
      </rPr>
      <t xml:space="preserve"> Policz inicjatywy/wydarzenia, w których przedstawiciel sieci miał aktywny wkład , włączając: prezentacje, moderowanie sesji, udział w dyskusji panelowej lub inne. Nie licz podwójnie np. jesli przedstawiciel sieci miał 2 prezentacje w ramach tej samej inicjatywy policz tylko jeden raz.</t>
    </r>
  </si>
  <si>
    <t>5.2 Liczba materiałów informacyjnych przekazanych ENRD i EIP-AGRI</t>
  </si>
  <si>
    <t>Prezentacje, publikacje i analizy przypadku</t>
  </si>
  <si>
    <t>Całkowita liczba materiałów informacyjnych dostarczonych do różnych jednostek organizacyjnych europejskiej sieci</t>
  </si>
  <si>
    <t>Liczba artyułów /informacji do publikacji ENRD/ EIP</t>
  </si>
  <si>
    <t xml:space="preserve">Liczba przekazanych przykładów dobrych praktyk/ case study </t>
  </si>
  <si>
    <t>Inne (proszę wyszczególnić jakie  w rubryce "Komentarze"</t>
  </si>
  <si>
    <t>Całkowita liczba informacji</t>
  </si>
  <si>
    <t>…ENRD CP</t>
  </si>
  <si>
    <t>…Evaluation HD</t>
  </si>
  <si>
    <r>
      <rPr>
        <b/>
        <sz val="10"/>
        <color indexed="17"/>
        <rFont val="Calibri"/>
        <family val="2"/>
        <charset val="238"/>
      </rPr>
      <t>WYTYCZNE:</t>
    </r>
    <r>
      <rPr>
        <sz val="10"/>
        <color indexed="8"/>
        <rFont val="Calibri"/>
        <family val="2"/>
      </rPr>
      <t xml:space="preserve">
</t>
    </r>
    <r>
      <rPr>
        <u/>
        <sz val="10"/>
        <color indexed="8"/>
        <rFont val="Calibri"/>
        <family val="2"/>
        <charset val="238"/>
      </rPr>
      <t>Poszczególne informacje:</t>
    </r>
    <r>
      <rPr>
        <sz val="10"/>
        <color indexed="8"/>
        <rFont val="Calibri"/>
        <family val="2"/>
      </rPr>
      <t xml:space="preserve"> Liczba artykułów, studium przypadku oraz innych materiałów informacyjnych może być liczona wielokrotnie w szczególnych przypadkach: np. jeśli podmiot dostarczył przykład dobrej praktyki, a następnie wykorzystał ten sam przykład w publikacji lub przygotował prezentację dotyczącą tej samej dobrej praktyki - można w takim przypadku zaliczyć wykonaną pracę zarówno jako przykład dobrej praktyki/case study jak i jako artykuł lub prezentację.</t>
    </r>
  </si>
  <si>
    <t>5.3 Liczba materiałów informacyjnych przygotowanych przez ENRD CP, Evaluation HD lub EIP-AGRI SP, które zostały przetłumaczone i/lub rozpowszechnione na potrzeby szerszej publiczności w ramach sieci</t>
  </si>
  <si>
    <r>
      <rPr>
        <b/>
        <sz val="12"/>
        <color indexed="8"/>
        <rFont val="Calibri"/>
        <family val="2"/>
        <charset val="238"/>
      </rPr>
      <t>Komentarze</t>
    </r>
    <r>
      <rPr>
        <sz val="10"/>
        <color indexed="8"/>
        <rFont val="Calibri"/>
        <family val="2"/>
      </rPr>
      <t xml:space="preserve"> </t>
    </r>
    <r>
      <rPr>
        <sz val="10"/>
        <color indexed="8"/>
        <rFont val="Calibri"/>
        <family val="2"/>
        <charset val="238"/>
      </rPr>
      <t>(proszę wskazać ewentualne trudności związane z interpretacją definicji/wskaźników; proszę wskazać co jest rozumiane przez kategorię "inne")</t>
    </r>
  </si>
  <si>
    <t>Liczba  informacji ENRD CP przetłumaczonych na język polski</t>
  </si>
  <si>
    <t>Liczba informacji ENRD CP rozpowszechnionych w Polsce</t>
  </si>
  <si>
    <t>Liczba  informacji Evaluation HD przetłumaczonych na język polski</t>
  </si>
  <si>
    <t>Liczba informacji Evalution HD rozpowszechnionych w Polsce</t>
  </si>
  <si>
    <t>Liczba  informacji EIP-SP przetłumaczonych na język polski</t>
  </si>
  <si>
    <t>Liczba informacji EIP-SP rozpowszechnionych w Polsce</t>
  </si>
  <si>
    <t>Całkowita liczba informacji przetłumaczonych na język polski</t>
  </si>
  <si>
    <t>Całkowita liczba informacji rozpowszechnionych w Polsce</t>
  </si>
  <si>
    <t>WYTYCZNE:
Jeśli to możliwe, proszę wskazać w rubryce "Komentarze" które materiały zostały przetłumaczone lub upowszechnione.
Liczba przetłumaczonych materiałów: Liczba przetłumaczonych  na język polski informacji (włączając publikacje, raporty, analizy, studium przypadku, itp.) 
Liczba rozpowszechnionych materiałów:  Liczba informacji (publikacje, raporty, analizy, case study) rozpowszechnionych wśród szerszego grona odbiorców w ramach sieci, np. poprzez stronę internetową, newsletter, emailing, itp. Można tu zaliczyć odwołania do strony ENRD zamieszczone na stronie krajowej sieci.</t>
  </si>
  <si>
    <t>6.  Budowanie umiejętności i szkolenia</t>
  </si>
  <si>
    <t>6.1 Liczba działań o charakterze szkoleniowym</t>
  </si>
  <si>
    <t xml:space="preserve">Rodzaj działania szkoleniowego </t>
  </si>
  <si>
    <t>Zakres tematyczny</t>
  </si>
  <si>
    <t>liczba warsztatów/ szkoleń</t>
  </si>
  <si>
    <t>liczba wizyt/ wyjazdów studyjnych</t>
  </si>
  <si>
    <t>Inne (proszę podaj w komentarzach)</t>
  </si>
  <si>
    <t>całkowita liczba działań szkoleniowych</t>
  </si>
  <si>
    <t>liczba dni szkoleniowych</t>
  </si>
  <si>
    <r>
      <rPr>
        <b/>
        <sz val="10"/>
        <color indexed="49"/>
        <rFont val="Calibri"/>
        <family val="2"/>
      </rPr>
      <t>WYTYCZNE:</t>
    </r>
    <r>
      <rPr>
        <sz val="10"/>
        <color indexed="49"/>
        <rFont val="Calibri"/>
        <family val="2"/>
      </rPr>
      <t xml:space="preserve">
</t>
    </r>
    <r>
      <rPr>
        <u/>
        <sz val="10"/>
        <rFont val="Calibri"/>
        <family val="2"/>
        <charset val="238"/>
      </rPr>
      <t>Typ działania szkoleniowego:</t>
    </r>
    <r>
      <rPr>
        <sz val="10"/>
        <rFont val="Calibri"/>
        <family val="2"/>
        <charset val="238"/>
      </rPr>
      <t xml:space="preserve">  Proszę uwzględnić wszystkie działania szkoleniowe zorganizowane przez podmiot lub partnerów sieci (włączając wizyty/wyjazdy studyjne). Proszę podać osobno liczbę działań szkoleniowych oraz odpowiednio liczbę dni. Działanie szkoleniowe to takie które mają aspekt budowy umiejętności (rozwijania zdolności) na konkretny temat.
</t>
    </r>
    <r>
      <rPr>
        <u/>
        <sz val="10"/>
        <rFont val="Calibri"/>
        <family val="2"/>
        <charset val="238"/>
      </rPr>
      <t>Zakres tematyczny:</t>
    </r>
    <r>
      <rPr>
        <sz val="10"/>
        <rFont val="Calibri"/>
        <family val="2"/>
        <charset val="238"/>
      </rPr>
      <t xml:space="preserve"> Działanie szkoleniowe może być zakwalifikowane do konkretnego tematu jedynie w przypadku gdy bezpośrednio dotyczyło danych zagadnień  (np. cały warsztat na dany temat a nie tylko jeden wykład). Jedno działanie szkoleniowe może dotyczyć więcej niż jednego tematu tzn., że ilość wszystkich działań nie musi być sumą działań w poszczególnych tematach.</t>
    </r>
  </si>
  <si>
    <t>szkolenia dotyczyły możliwości ubiegania się o pomoc z poszczególnych działań PROW</t>
  </si>
  <si>
    <t>6.2 Liczba osób biorących udział w działaniach szkoleniowych</t>
  </si>
  <si>
    <t>Rodzaj działania szkoleniowego</t>
  </si>
  <si>
    <t>Grupy interesariuszy</t>
  </si>
  <si>
    <t>liczba uczestników szkoleń/ warsztatów</t>
  </si>
  <si>
    <t>liczba uczestników wizyt/ wyjazdów studyjnych</t>
  </si>
  <si>
    <t>liczba uczestników innych lub mieszanych działań szkoleniowych (proszę doprecyzuj w "Komentarzu")</t>
  </si>
  <si>
    <t>liczba przedstawicieli IZ/AP</t>
  </si>
  <si>
    <t>liczba przedstawicieli LGD</t>
  </si>
  <si>
    <t>liczba doradców rolnych i przedstawicieli SIR</t>
  </si>
  <si>
    <t xml:space="preserve">liczba przedstawicieli lokalnych partnerów i organizacji </t>
  </si>
  <si>
    <t>liczba przedstawicieli innych grup interesariuszy (proszę doprecyzuj w"Komentarzu")</t>
  </si>
  <si>
    <r>
      <t xml:space="preserve">WYTYCZNE:
</t>
    </r>
    <r>
      <rPr>
        <sz val="10"/>
        <color indexed="8"/>
        <rFont val="Calibri"/>
        <family val="2"/>
        <charset val="238"/>
      </rPr>
      <t xml:space="preserve">
Proszę uwzględnić liczbę osób, które brały udział w działaniach szkoleniowych wymienionych w pkt. 6.1. Jeśli to możliwe, proszę wskazać liczbę uczestników w podziale na główne grupy interesariuszy.</t>
    </r>
  </si>
  <si>
    <t xml:space="preserve">7. Wsparcie transnarodowej i międzyterytorialnej współpracy w ramach LEADER/RLKS i wspólnych inicjatyw  </t>
  </si>
  <si>
    <t xml:space="preserve">7.1 Liczba inicjatyw współpracy, ofert poszukiwania partnerów do współpracy, badań/analiz, wizyt studyjnych i innych działań na rzecz współpracy </t>
  </si>
  <si>
    <t>Liczba wydarzeń poświęconych współpracy</t>
  </si>
  <si>
    <t>Liczba osób zaangażowanych w te inicjatywy</t>
  </si>
  <si>
    <t>… w tym liczba osób z innych Państw Członkowskich UE</t>
  </si>
  <si>
    <t>… w tym liczba osób z innych regionów (do wypełnienia tylko przez JR)</t>
  </si>
  <si>
    <t>Liczba zebranych i przekazanych ofert poszukiwania partnerów do współpracy</t>
  </si>
  <si>
    <t>Liczba badań/analiz na temat współpracy</t>
  </si>
  <si>
    <t>Liczba wizyt studyjnych z naciskiem na współpracę</t>
  </si>
  <si>
    <t>Liczba osób uczestniczących w wyjazdach studyjnych</t>
  </si>
  <si>
    <t>…w tym osób z innych Państw Członkowskich UE</t>
  </si>
  <si>
    <r>
      <rPr>
        <b/>
        <sz val="10"/>
        <color indexed="53"/>
        <rFont val="Calibri"/>
        <family val="2"/>
      </rPr>
      <t>WYTYCZNE:</t>
    </r>
    <r>
      <rPr>
        <sz val="10"/>
        <color indexed="53"/>
        <rFont val="Calibri"/>
        <family val="2"/>
      </rPr>
      <t xml:space="preserve"> </t>
    </r>
    <r>
      <rPr>
        <sz val="10"/>
        <color indexed="8"/>
        <rFont val="Calibri"/>
        <family val="2"/>
      </rPr>
      <t xml:space="preserve">
</t>
    </r>
    <r>
      <rPr>
        <u/>
        <sz val="10"/>
        <color indexed="8"/>
        <rFont val="Calibri"/>
        <family val="2"/>
        <charset val="238"/>
      </rPr>
      <t>Ogólne</t>
    </r>
    <r>
      <rPr>
        <sz val="10"/>
        <color indexed="8"/>
        <rFont val="Calibri"/>
        <family val="2"/>
      </rPr>
      <t xml:space="preserve">: Podwójne uwzględnianie z innymi wskaźnikami jest możliwe np. jeżeli w wydarzeniu dotyczącym LEADER/RLKS pokazanym we wskaźniku 1.1. znaczny nacisk położono na współpracę. 
</t>
    </r>
    <r>
      <rPr>
        <u/>
        <sz val="10"/>
        <color indexed="8"/>
        <rFont val="Calibri"/>
        <family val="2"/>
        <charset val="238"/>
      </rPr>
      <t>Wydarzenia poświęcone współpracy:</t>
    </r>
    <r>
      <rPr>
        <sz val="10"/>
        <color indexed="8"/>
        <rFont val="Calibri"/>
        <family val="2"/>
      </rPr>
      <t xml:space="preserve"> Proszę uwzględnić wydarzenia, w ramach których znaczny nacisk został położony na współpracę np. zorganizowano specjalne sesje lub wydarzenia towarzyszące poświęcone współpracy lub wspierające wspólpracę różnych interesariuszy (szczegónie LGD) w celu przygotowania i realizacji projektów współpracy. Proszę nie uwzględniać tu wizyt studyjnych, które należy wpisać  w kolumnie "</t>
    </r>
    <r>
      <rPr>
        <i/>
        <sz val="10"/>
        <color indexed="8"/>
        <rFont val="Calibri"/>
        <family val="2"/>
        <charset val="238"/>
      </rPr>
      <t>liczba wizyt studyjnych</t>
    </r>
    <r>
      <rPr>
        <sz val="10"/>
        <color indexed="8"/>
        <rFont val="Calibri"/>
        <family val="2"/>
      </rPr>
      <t xml:space="preserve">".
</t>
    </r>
    <r>
      <rPr>
        <u/>
        <sz val="10"/>
        <color indexed="8"/>
        <rFont val="Calibri"/>
        <family val="2"/>
      </rPr>
      <t>Oferty współpracy/ poszukiwania partnerów:</t>
    </r>
    <r>
      <rPr>
        <sz val="10"/>
        <color indexed="8"/>
        <rFont val="Calibri"/>
        <family val="2"/>
      </rPr>
      <t xml:space="preserve"> Proszę uwzględnić liczbę ofert współpracy zebranych i rozpowszechnionych z wykorzystaniem określonych narzędzi (np. baza danych partnerów do współpracy, emailing do LGD). Proszę nie uwzględniać zapytań, które były rozpowszechniane z pominięciem sieci poprzez inne kanały. Proszę unikać podwójnego liczenia - jeśli oferta była udostępniona w bazie danych i przez e-mailing, policz ją jeden raz.
</t>
    </r>
    <r>
      <rPr>
        <u/>
        <sz val="10"/>
        <color indexed="8"/>
        <rFont val="Calibri"/>
        <family val="2"/>
      </rPr>
      <t>Wizyty studyjne:</t>
    </r>
    <r>
      <rPr>
        <sz val="10"/>
        <color indexed="8"/>
        <rFont val="Calibri"/>
        <family val="2"/>
      </rPr>
      <t xml:space="preserve"> Proszę uwzględnić liczbę wizyt studyjnych, których jednym z głównych celów było wsparcie współpracy pomiędzy LGD (włączając także wizyty studyjne zorganizowane w Polsce dla LGD z innych Państw Członkowskich UE. 
</t>
    </r>
    <r>
      <rPr>
        <u/>
        <sz val="10"/>
        <color indexed="8"/>
        <rFont val="Calibri"/>
        <family val="2"/>
      </rPr>
      <t>Inne inicjatywy współpracy podejmowane przez NSU</t>
    </r>
    <r>
      <rPr>
        <sz val="10"/>
        <color indexed="8"/>
        <rFont val="Calibri"/>
        <family val="2"/>
      </rPr>
      <t>: Jeżeli podejmowane są inne rodzaje inicjatyw, które nie zostały uwzględnione w tym zestawieniu, prosimy o podanie informacji na ich temat w rubryce "</t>
    </r>
    <r>
      <rPr>
        <i/>
        <sz val="10"/>
        <color indexed="8"/>
        <rFont val="Calibri"/>
        <family val="2"/>
        <charset val="238"/>
      </rPr>
      <t>Komentarze</t>
    </r>
    <r>
      <rPr>
        <sz val="10"/>
        <color indexed="8"/>
        <rFont val="Calibri"/>
        <family val="2"/>
      </rPr>
      <t>".</t>
    </r>
  </si>
  <si>
    <t xml:space="preserve">8. Budżet sieci w EUR - Proszę nie licz podwójnie </t>
  </si>
  <si>
    <r>
      <rPr>
        <b/>
        <sz val="12"/>
        <color indexed="8"/>
        <rFont val="Calibri"/>
        <family val="2"/>
        <charset val="238"/>
      </rPr>
      <t xml:space="preserve">Komentarze </t>
    </r>
    <r>
      <rPr>
        <sz val="10"/>
        <color indexed="8"/>
        <rFont val="Calibri"/>
        <family val="2"/>
        <charset val="238"/>
      </rPr>
      <t>(proszę wskazać także inne kategorie)</t>
    </r>
  </si>
  <si>
    <t>Koszty związane z działalnością/planem działania</t>
  </si>
  <si>
    <t>w tym wydarzenia (tab. 1)</t>
  </si>
  <si>
    <t>w tym strona internetowa (tab. 2.1, 2.2)</t>
  </si>
  <si>
    <t>w tym związane z innymi działaniami komunikacji (tab. 2.3, 2.4)</t>
  </si>
  <si>
    <t>w tym związane z innymi działaniami (tab. 3, 4, 5, 6, 7)</t>
  </si>
  <si>
    <t>Koszty funkcjonowania (wszystkie koszty administracyjne, materiały, koordynacja, itp.) Proszę określ je w komentarzach.</t>
  </si>
  <si>
    <t>SR KSOW Województwa Dolnośląskiego</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</si>
  <si>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
    </r>
  </si>
  <si>
    <r>
      <t>Komentarze</t>
    </r>
    <r>
      <rPr>
        <sz val="10"/>
        <color indexed="8"/>
        <rFont val="Calibri"/>
        <family val="2"/>
      </rPr>
      <t xml:space="preserve"> 
(proszę wskazać co jest rozumiane przez kategorię "inne")</t>
    </r>
  </si>
  <si>
    <r>
      <rPr>
        <b/>
        <sz val="10"/>
        <color theme="1"/>
        <rFont val="Calibri"/>
        <family val="2"/>
        <charset val="238"/>
      </rPr>
      <t>Zasięg krajowy:</t>
    </r>
    <r>
      <rPr>
        <sz val="10"/>
        <color theme="1"/>
        <rFont val="Calibri"/>
        <family val="2"/>
        <charset val="238"/>
      </rPr>
      <t xml:space="preserve"> </t>
    </r>
    <r>
      <rPr>
        <b/>
        <sz val="10"/>
        <color theme="1"/>
        <rFont val="Calibri"/>
        <family val="2"/>
        <charset val="238"/>
      </rPr>
      <t>2015 rok</t>
    </r>
    <r>
      <rPr>
        <sz val="10"/>
        <color theme="1"/>
        <rFont val="Calibri"/>
        <family val="2"/>
        <charset val="238"/>
      </rPr>
      <t xml:space="preserve">: Dożynki Prezydenckie w Spale, targi Natura Food, targi Smaki Regionów, Święto Wina i Sera, prezentacje tradycyjnych stołów wigilijnych; </t>
    </r>
    <r>
      <rPr>
        <b/>
        <sz val="10"/>
        <color theme="1"/>
        <rFont val="Calibri"/>
        <family val="2"/>
        <charset val="238"/>
      </rPr>
      <t xml:space="preserve"> Zasięg krajowy: 2016 rok</t>
    </r>
    <r>
      <rPr>
        <sz val="10"/>
        <color theme="1"/>
        <rFont val="Calibri"/>
        <family val="2"/>
        <charset val="238"/>
      </rPr>
      <t>:  P1 - Olimpiada Wiedzy i Umiejętności Rolniczych; P3 - Święto Mleka w Kamiennej Górze; Dolnośląski Dzień Pszczelarza; Dary Jesieni - Dolnośląskie Święto Owoców i Warzyw; P6-  obchody 150-lecia Kół Gospodyń Wiejskich;  Prezentacja Tradycyjnych Stołów Wigilijnych; INNE lub MIESZANE , wpisujące się w więcej niż jeden priorytet: prezentacje wojewódzkie Tradycyjnych Stołów Wielkanocnych, Palm i Pisanek; Wystawa Zwierząt Hodowlanych w Piotrowicach; prezentacja Dolnośląska Wieś Zaprasza; Święto wina i sera; Targi Naturalnej Żywności Natura Food; Targi Smaki Regionów; Forum muzeów domowych; konferencja "Agrotechniczne aspekty uprawy winorośli i jakości wina w Polsce" Winnica-Technologia-Enologia-Zdrowie; Konferencja naukowa pt. "Procesy koncentracji ziemi i kapitału a zrównoważony rozwój obszarów wiejskich na Dolnym Śląsku";</t>
    </r>
    <r>
      <rPr>
        <b/>
        <sz val="10"/>
        <color theme="1"/>
        <rFont val="Calibri"/>
        <family val="2"/>
        <charset val="238"/>
      </rPr>
      <t xml:space="preserve"> Zasięg międzynarodowy:</t>
    </r>
    <r>
      <rPr>
        <sz val="10"/>
        <color theme="1"/>
        <rFont val="Calibri"/>
        <family val="2"/>
        <charset val="238"/>
      </rPr>
      <t xml:space="preserve">  2016 rok: targi Agrotravel w Kielcach, targi Grune Woche w Berlinie (wydarzenia inne lub mieszane, wpisujące się w więcej niz jeden priorytet).  Zasięg międzynarodowy 2017: 1. Targi Grüne Woche w Berlinie; 2. Międzynarodowe Targi Turystyki Wiejskiej i Agroturystyki Agrotravel w Kielcach, Zasięg regionalny: 2017 -1. konferencja podsumowująca wdrażanie PROW 2014-2020 w latach 2014-2017 w ramach działań delegowanych; 2. Prezentacje Tradycyjnych Stołów Wielkanocnych, Palm i Pisanek we Wrocławiu; 3. Targi Naturalnej Żywności Natura Food w Łodzi; 4. Targi Smaki Regionw w Poznaniu; 5. Prezentacje Tradycyjnych Stołów Wigilijnych we Wrocławiu; 6. Konkurs "Piękna wieś dolnośląska";  7. Konferencja "Agrotechniczne aspekty uprawy winorośli i jakości wina w Polsce"; operacje realizowane przez partnerów KSOW - 16, w tym: 1. Tworzenie sieci współpracy pomiędzy Lokalnymi Grupami Działania oraz podniesienie wiedzy Lokalnych Grup Działania w zakresie PROW 2014-2020 na obszarze Dolnego Śląska; 2. Święto Sera i Wina Spotkanie Regionów; 3. Realizacja audycji telewizyjnej pt. "Zrób to ze smakiem"; 4. Doświadczenia, które łaczą - wymiana wiedzy pomiędzy partnerami KSOW; 5. Działalność międzynarodowej sieci "muzeów domowych" (ze szczególnym uwzględnieniem segmentu dolnoślaskiego) w 2017 r. jako czynnika kulturalnego i społeczno-gospodarczego rozwoju obszarów wiejskich; 6. Rolnictwo wspierane społecznie - zmiejszenie barier wejścia na rynek dla dolnośląskich produktów żywności wysokiej jakości;  7. Edukacja przyrodniczo-leśna jako narzędzie działań na rzecz odtwarzania, ochrony i wzmacniania ekosystemów związanych z leśnictwem na obszarze Doliny Baryczy; 8. XXII Regionalna Wystawa Zwierząt Hodowlanych w Piotrowicach; 9.Dolnośląski Dzień Pszczelarza;  10. Udział SM KaMos w Targach Pyszna Polska; 11. Festyn Dolnośląska Wieś Zaprasza 2017; 12. Organizacja 41 edycji Olimpiady Wiedzy i Umiejętności Rolniczych na Uniwersytecie Przyrodniczym we Wrocławiu; 13. Wsie tematyczne jako idea aktywizacji społecznej i ekonomicznej oraz zachowania dziedzictwa dolnośląskich wsi; 14.  Rozwój obszarów wiejskich i aktywizacja środowiska wiejskiego w Gminie Radków poprzez organizację szkoleń i warsztatu dla mieszkańców; 15. Święto Mleka; 16. XI Kaczawskie Warsztaty Artystyczne w Dobkowie - promocja sieci współpracy w Krainie Wygasłych Wulkanów/////UWAGA DOT. CZĘŚCI KSOW: w wydarzeniach z 2017 roku uwzględniono liczbę odwiedzających, uczestników konferencji. Ilość sztuk publikacji, liczbę uczestników szkoleń, ilośc odcinków audycji tv podano w odpowiadających im tabelach poniżej. Koszty wydarzeń z 2017 r. oprócz konferencji w ramach Planu komunikacyjnego  zostały zaliczone w tab. 8 jako koszty z tab. 1 (wynika to z faktu, że partnerzy KSOW realizowali w kilku przypadkach więcej niż jedną formę operacji).</t>
    </r>
  </si>
  <si>
    <r>
      <rPr>
        <b/>
        <sz val="10"/>
        <color theme="1"/>
        <rFont val="Calibri"/>
        <family val="2"/>
        <charset val="238"/>
      </rPr>
      <t xml:space="preserve"> Zasięg krajowy: 2015 rok</t>
    </r>
    <r>
      <rPr>
        <sz val="10"/>
        <color theme="1"/>
        <rFont val="Calibri"/>
        <family val="2"/>
        <charset val="238"/>
      </rPr>
      <t xml:space="preserve">: konferencja inaugurująca rozpoczęcie wdrażanie PROW 2014-2020 na Dolnym Śląsk- 184 osoby, Prezentacja Tradycyjnych Stołów Wigilijnych - około 2 000 odwiedzających; spotkania dotyczące funkcjonowania LGD, działania 19.2 itp. - około 210 osób;  Dożynki Prezydenckie w Spale: 7 wystawców, ok. 10 000 odwiedzających;  targi Natura Food: 8 wystawców, ok. 11 000 odwiedzających;  targi Smaki Regionów: 7 wystawców, ok. 60 000 odwiedzających, Święto Wina i Sera 25 wystawców, ok. 2 000 odwiedzających, prezentacje tradycyjnych stołów wigilijnych: 26 wystawców.
</t>
    </r>
    <r>
      <rPr>
        <b/>
        <sz val="10"/>
        <color theme="1"/>
        <rFont val="Calibri"/>
        <family val="2"/>
        <charset val="238"/>
      </rPr>
      <t>Zasięg krajowy: 2016 rok:</t>
    </r>
    <r>
      <rPr>
        <sz val="10"/>
        <color theme="1"/>
        <rFont val="Calibri"/>
        <family val="2"/>
        <charset val="238"/>
      </rPr>
      <t xml:space="preserve"> prezentacje wojewódzkie Tradycyjnych Stołów Wielkanocnych, Palm i Panek - 26 wystawców, ok. 2 000 zwiedzających;; obchody 150-lecia Kół Gospodyń Wiejskich - 98 wystawców, ok. 3 000 zwiedzających; Wystawa Zwierząt Hodowlanych w Piotrowicach - 80 wystawców, ok. 6 000 zwiedzających; prezentacja Dolnośląska Wieś Zaprasza - 62 wystawców, ok. 600 odwiedzających; Olimpiada Wiedzy i Umiejętności Rolniczych - 210 uczestników;  - Święto Mleka w Kamiennej Górze: 30 wystawców, ok. 5000 odwiedzających; Dolnośląski Dzień Pszczelarza: ok. 50 wystawców, ok. 2500 odwiedzających; Dary Jesieni - Dolnośląskie Święto Owoców i Warzyw: ok. 30 wystawców, ok. 1000 odwiedzających;  Prezentacja Tradycyjnych Stołów Wigilijnych - 26 wystawców, ok. 2000 odwiedzających; Święto wina i sera ok. 25 wystawców, ok. 2000 odwiedzających; Targi Naturalnej Żywności Natura Food: 7 wystawców, ok. 12000 odwiedzających; Targi Smaki Regionów: 6 wystawców, ok. 60000 odwiedzających; Forum muzeów domowych - ok. 40 uczestników; konferencja "Agrotechniczne aspekty uprawy winorośli i jakości wina w Polsce" Winnica-Technologia-Enologia-Zdrowie - ok. 80 uczestników; Konferencja naukowa pt. "Procesy koncentracji ziemi i kapitału a zrównoważony rozwój obszarów wiejskich na Dolnym Śląsku" ok. 45 uczestników; w kol. G podano zsumowaną ilość odwiedzających na wydarzeniach targowych oraz ilość uczestników pozostałych wydarzeń.</t>
    </r>
    <r>
      <rPr>
        <b/>
        <sz val="10"/>
        <color theme="1"/>
        <rFont val="Calibri"/>
        <family val="2"/>
        <charset val="238"/>
      </rPr>
      <t xml:space="preserve"> Zasięg międzynarodowy: 2016 rok:</t>
    </r>
    <r>
      <rPr>
        <sz val="10"/>
        <color theme="1"/>
        <rFont val="Calibri"/>
        <family val="2"/>
        <charset val="238"/>
      </rPr>
      <t xml:space="preserve">  targi Agrotravel w Kielcach - 10 wystawców, ok. 20 000 zwiedzających; targi Grune Woche w Berlinie - 6 wystawców, ok. 400 tys. zwiedzających;</t>
    </r>
    <r>
      <rPr>
        <b/>
        <sz val="10"/>
        <color theme="1"/>
        <rFont val="Calibri"/>
        <family val="2"/>
        <charset val="238"/>
      </rPr>
      <t xml:space="preserve">  Zasięg regionalny 2017 rok</t>
    </r>
    <r>
      <rPr>
        <sz val="10"/>
        <color theme="1"/>
        <rFont val="Calibri"/>
        <family val="2"/>
        <charset val="238"/>
      </rPr>
      <t>: 1. Konferencja podsumowującą wdrażanie PROW 2014-2020 - 98 osób podpisanych na liście obecności; 2. Prezentacje Tradycyjnych Stołów Wielkanocnych, Palm i Pisanek we Wrocławiu - 26 wystawców, ok. 2 000 odwiedzających; 3. Targi Naturalnej Żywności Natura Food w Łodzi - 7 wystawców ok. 12 000 odwiedzających; 4. Targi Smaki Regionw w Poznaniu - 6 wystawców, ok. 60000 odwiedzających; 5. Prezentacje Tradycyjnych Stołów Wigilijnych we Wrocławiu - 26 wystawców, ok. 2000 odwiedzających; 6. Konkurs "Piękna wieś dolnośląska" - ok. 600 uczestników podsumowania konkursu, 18 laureatów;  7. Konferencja "Agrotechniczne aspekty uprawy winorośli i jakości wina w Polsce" - ok. 80 uczestników, ilość sztuk publikacji wpisana w tab. 2.3;OPERACJE REALIZOWANE PRZEZ PARTNERÓW KSOW - 16, w tym: 1. Tworzenie sieci współpracy pomiędzy Lokalnymi Grupami Działania oraz podniesienie wiedzy Lokalnych Grup Działania w zakresie PROW 2014-2020 na obszarze Dolnego Śląska - uczestnicy szkoleń wpisani w tab. 6.2; 2. Święto Sera i Wina Spotkanie Regionów - 2000 odwiedzających, 30 wystawców, uczestnicy szkoleń wpisani w tab. 6.2 ; 3. Realizacja audycji telewizyjnej pt. "Zrób to ze smakiem", ilość audycji telewizyjnych wpisana w tab. 2.4; 4. Doświadczenia, które łaczą - wymiana wiedzy pomiędzy partnerami KSOW -  uczestnicy szkoleń wpisani w tab. 6.2, ilość sztuk publikacji wpisana w tab. 2.3; 5. Działalność międzynarodowej sieci "muzeów domowych" (ze szczególnym uwzględnieniem segmentu dolnoślaskiego) w 2017 r. jako czynnika kulturalnego i społeczno-gospodarczego rozwoju obszarów wiejskich -  46 uczestników konferencji, ilość sztuk publikacji wpisana w tab. 2.3; 6. Rolnictwo wspierane społecznie - zmiejszenie barier wejścia na rynek dla dolnośląskich produktów żywności wysokiej jakości -  75 uczestników konferencji, ilość sztuk publikacji wpisana w tab. 2 .3;  7. Edukacja przyrodniczo-leśna jako narzędzie działań na rzecz odtwarzania, ochrony i wzmacniania ekosystemów związanych z leśnictwem na obszarze Doliny Baryczy - ilość odcinków audycji telewizyjnych wpisana w tab. 2.4, ilość sztuk publikacji wpisana w tab. 2.3; 8. XXII Regionalna Wystawa Zwierząt Hodowlanych w Piotrowicach - 6000 odwiedzających, 55 wystawców; 9.Dolnośląski Dzień Pszczelarza -  1500 odwiedzających, 47 wystawców;  10. Udział SM KaMos w Targach Pyszna Polska - 2000 odwiedzających, 1 wystawca; 11. Festyn Dolnośląska Wieś Zaprasza 2017 - 800 odwiedzających, 59 wystawców; 12. Organizacja 41 edycji Olimpiady Wiedzy i Umiejętności Rolniczych na Uniwersytecie Przyrodniczym we Wrocławiu - 150 uczestników; 13. Wsie tematyczne jako idea aktywizacji społecznej i ekonomicznej oraz zachowania dziedzictwa dolnośląskich wsi -  61 uczestników konferencji, liczba sztuk publikacji wpisana w tab. 2.3; 14.  Rozwój obszarów wiejskich i aktywizacja środowiska wiejskiego w Gminie Radków poprzez organizację szkoleń i warsztatu dla mieszkańców - uczestnicy szkoleń wpisani w tab. 6.2; 15. Święto Mleka - 1000 odwiedzających, 45 wystawców; 16. XI Kaczawskie Warsztaty Artystyczne w Dobkowie - promocja sieci współpracy w Krainie Wygasłych Wulkanów - 1500 odwiedzających, 16 wystawców. /////UWAGA DOT. CZĘŚCI KSOW: w wydarzeniach z 2017 roku uwzględniono liczbę odwiedzających, uczestników konferencji. Ilość sztuk publikacji, liczbę uczestników szkoleń, ilośc odcinków audycji tv podano w odpowiadających im tabelach poniżej. Koszty wydarzeń z 2017 r. oprócz konferencji w ramach Planu komunikacyjnego  zostały zaliczone w tab. 8 jako koszty z tab. 1 (wynika to z faktu, że partnerzy KSOW realizowali w kilku przypadkach więcej niż jedną formę operacji).</t>
    </r>
  </si>
  <si>
    <r>
      <t>Komentarze</t>
    </r>
    <r>
      <rPr>
        <sz val="10"/>
        <color theme="1"/>
        <rFont val="Calibri"/>
        <family val="2"/>
      </rPr>
      <t xml:space="preserve"> 
(proszę wskazać co jest rozumiane przez kategorię "inne")</t>
    </r>
  </si>
  <si>
    <t>Działanie bezkosztowe</t>
  </si>
  <si>
    <r>
      <t xml:space="preserve">inne/mieszane= 4 publikacje dotyczące 3 wydarzeń, w tym: 2 publikacje pokonferencyjne, tj. dot. agrotechnicznych aspektów uprawy winorośli oraz procesów koncentracji ziemi i kapitału na obszarach wiejskich Dolnego Śląska. 2 publikacje po Forum Muzeów Domowych, tj. Informator pt.  „Muzea Domowe Informator 2016” (wersja czeska)  oraz Materiały informacyjno-metodyczne pt.”Muzea domowe. Materiały informacyjno-metodyczne. 2”-. Koszty zostały zaliczone w tab. 8 do kosztów zawartych w tab. 1 (wszystkie wydarzenia wpisano w tab. 1); e. Materiały informacyjno-metodyczne. 2”-. Koszty zostały zaliczone w tab. 8 do kosztów zawartych w tab. 1 (wszystkie wydarzenia wpisano w tab. 1), </t>
    </r>
    <r>
      <rPr>
        <b/>
        <sz val="10"/>
        <color theme="1"/>
        <rFont val="Calibri"/>
        <family val="2"/>
        <charset val="238"/>
        <scheme val="minor"/>
      </rPr>
      <t>2017 rok</t>
    </r>
    <r>
      <rPr>
        <sz val="10"/>
        <color theme="1"/>
        <rFont val="Calibri"/>
        <family val="2"/>
        <charset val="238"/>
        <scheme val="minor"/>
      </rPr>
      <t xml:space="preserve"> - 1. Publikacja w postaci mapy Lokalnych Grup Działania funkcjonujących na Dolnym Śląsku dystrybuowana wśród potencjalnych beneficjentów/beneficjentów; 2. Publikacja pokonferencyjna dot. agrotechnicznych aspektów uprawy winorośli - cz. 2; W RAMACH OPERACJI PARTNERÓW KSOW: 1. Doświadczenia, które łaczą - wymiana wiedzy pomiędzy partnerami KSOW - książka kucharska; 2. Edukacja przyrodniczo-leśna jako narzędzie działań na rzecz odtwarzania, ochrony i wzmacniania ekosystemów związanych z leśnictwem na obszarze Doliny Baryczy - folder informacyjny; 3. Działalność międzynarodowej sieci "muzeów domowych" (ze szczególnym uwzględnieniem segmentu dolnoślaskiego) w 2017 r. jako czynnika kulturalnego i społeczno-gospodarczego rozwoju obszarów wiejskich - informator; 4. Rolnictwo wspierane społecznie - zmiejszenie barier wejścia na rynek dla dolnośląskich produktów żywności wysokiej jakości  - monografia; 5. Wsie tematyczne jako idea aktywizacji społecznej i ekonomicznej oraz zachowania dziedzictwa dolnośląskich wsi  - ekspertyza/analiza
</t>
    </r>
  </si>
  <si>
    <r>
      <t xml:space="preserve">Inne/mieszane= Konkurs Nasze kulinarne dziedzictwo - smaki regionów; cykl audycji tv - Zrób to ze smakiem (koszty zostały zaliczone w tab. 8 do kosztów zawartych w trab 2.3, 2.4); </t>
    </r>
    <r>
      <rPr>
        <b/>
        <sz val="10"/>
        <color theme="1"/>
        <rFont val="Calibri"/>
        <family val="2"/>
        <charset val="238"/>
      </rPr>
      <t>2017 rok</t>
    </r>
    <r>
      <rPr>
        <sz val="10"/>
        <color theme="1"/>
        <rFont val="Calibri"/>
        <family val="2"/>
        <charset val="238"/>
      </rPr>
      <t xml:space="preserve"> - 1. cykl audycji w ramach programu "Teraz Wieś" dotyczących działań delegowanych PROW 2014-2020; W RAMACH OPERACJI REALIZOWANYCH PRZEZ PARTNERÓW KSOW: 1. Realizacja audycji telewizyjnej pt. "Zrób to ze smakiem" - cykl audycji dot. promowania produktów regionalnych w kuchni; 2. Edukacja przyrodniczo-leśna jako narzędzie działań na rzecz odtwarzania, ochrony i wzmacniania ekosystemów związanych z leśnictwem na obszarze Doliny Baryczy - cykl audycji edukacyjnych</t>
    </r>
  </si>
  <si>
    <r>
      <t>Komentarze</t>
    </r>
    <r>
      <rPr>
        <b/>
        <sz val="10"/>
        <color indexed="8"/>
        <rFont val="Calibri"/>
        <family val="2"/>
        <charset val="238"/>
      </rPr>
      <t xml:space="preserve"> 
</t>
    </r>
    <r>
      <rPr>
        <sz val="10"/>
        <color indexed="8"/>
        <rFont val="Calibri"/>
        <family val="2"/>
        <charset val="238"/>
      </rPr>
      <t>(proszę wskazać co jest rozumiane przez kategorię "inne")</t>
    </r>
  </si>
  <si>
    <r>
      <t>Komentarze</t>
    </r>
    <r>
      <rPr>
        <sz val="12"/>
        <color indexed="8"/>
        <rFont val="Calibri"/>
        <family val="2"/>
        <charset val="238"/>
      </rPr>
      <t xml:space="preserve"> 
(</t>
    </r>
    <r>
      <rPr>
        <sz val="10"/>
        <color indexed="8"/>
        <rFont val="Calibri"/>
        <family val="2"/>
        <charset val="238"/>
      </rPr>
      <t>proszę wskazać co jest rozumiane przez kategorię "inne")</t>
    </r>
  </si>
  <si>
    <t>Dolnośląska Grupa Robocza ds. KSOW głosowała 20 razy w okresie sprawozdawczym; Grupa Robocza realizowała zadania wynikające z art. 57 ust. 2 pkt 4 ustawy z dnia 20 lutego 2015 r.
o wspieraniu rozwoju obszarów wiejskich z udziałem środków Europejskiego Funduszu Rolnego na rzecz Rozwoju Obszarów Wiejskich w ramach Programu Rozwoju Obszarów Wiejskich na lata 2014–2020; Istnieje 1 grupa robocza, która została wykazana dla każdego roku osobno.</t>
  </si>
  <si>
    <r>
      <rPr>
        <b/>
        <sz val="12"/>
        <color theme="1"/>
        <rFont val="Calibri"/>
        <family val="2"/>
        <charset val="238"/>
        <scheme val="minor"/>
      </rPr>
      <t>Komentarze</t>
    </r>
    <r>
      <rPr>
        <sz val="10"/>
        <color theme="1"/>
        <rFont val="Calibri"/>
        <family val="2"/>
        <scheme val="minor"/>
      </rPr>
      <t xml:space="preserve"> 
</t>
    </r>
    <r>
      <rPr>
        <sz val="10"/>
        <color theme="1"/>
        <rFont val="Calibri"/>
        <family val="2"/>
        <charset val="238"/>
        <scheme val="minor"/>
      </rPr>
      <t>(proszę wskazać co jest rozumiane przez kategorię "inne")</t>
    </r>
  </si>
  <si>
    <r>
      <t xml:space="preserve">Komentarze 
</t>
    </r>
    <r>
      <rPr>
        <sz val="10"/>
        <color indexed="8"/>
        <rFont val="Calibri"/>
        <family val="2"/>
        <charset val="238"/>
      </rPr>
      <t>(proszę wskazać co jest rozumiane przez kategorię "inne")</t>
    </r>
  </si>
  <si>
    <t>2016, 2017 ROK 1. Uczestnikami szkoleń byli potencjalni beneficjnci i beneficjenci działania "Podstawowe usługi i odnowa wsi na obszarach wiejskich" tj. gminy, gminne zaklady komunalne , ośrodki kultury itp. a także Lokalne Grupy Działania; 2017 ROK: W RAMACH OPERACJI PARTNERÓW KSOW: 1. Święto Sera i Wina Spotkanie Regionów - szkolenie dla producentów serów i win; 2. Doświadczenia, które łaczą - wymiana wiedzy pomiędzy partnerami KSOW - Warsztaty kulinarne "Moje jedzenie, moje korzenie" - wymiana wiedzy, doświadczeń pomiędzy Kołami Gospodyń Wiejskich z terenu 3 gmin, wyjazd studyjny - wymiana wiedzy, doświadczeń pomiędzy 3 grupami młodzieży działającej na rzecz lokalnej społeczności oraz Kołami Gospodyń Wiejskich z terenu 3 gmin   3. Tworzenie sieci współpracy pomiędzy Lokalnymi Grupami Działania oraz podniesienie wiedzy Lokalnych Grup Działania w zakresie PROW 2014-2020 na obszarze Dolnego Śląska - szkolenia w: zakresie tworzenia sieci, partnerstw lub kooperatyw na rzecz rozwoju obszarów wiejskich w ramach rozwoju lokalnego,  wykorzystania zasobów naturalnych i ich ochrony oraz przeciwdziałanie zmianom klimatu, rozwoju przedsiębiorczości na obszarach wiejskich, realizacji projektów grantowych przez LGD, jakości żywności,  tworzenia krótkich łańcuchów dostaw w sektorze rolno-spożywczym, wspierania tworzenia sieci współpracy partnerskiej dotyczącej rolnictwa i obszarów wiejskich. 4.   Rozwój obszarów wiejskich i aktywizacja środowiska wiejskiego w Gminie Radków poprzez organizację szkoleń i warsztatu dla mieszkańców - szkolenia w zakresie odnawialnych źródeł energii,  finansowania przedsięwzięć w ochronie środowiska,  zarządzania projektami  z zakresu rozwoju obszarów wiejskich, zastosowania nowoczesnych technologii w uprawach, sprzedaży bezpośredniej oraz wsparcia rozwoju chowu i hodowli bydła w warunkach pogórza, warsztat z plecienia wieńców.</t>
  </si>
  <si>
    <t xml:space="preserve">Uczestnikami szkoleń byli potencjalni beneficjnci i beneficjenci działania "Podstawowe usługi i odnowa wsi na obszarach wiejskich" tj. gminy, gminne zaklady komunalne </t>
  </si>
  <si>
    <t>do kosztów funkcjonowania zaliczone zostały: koszty delegacji, wynagrodzeń, składek członkowskich w ESRDK i ARGE (składki tylko w 2016 r.); posiedzenia Grupy Roboczej były bezkosztowe</t>
  </si>
  <si>
    <t>[KOWR]</t>
  </si>
  <si>
    <t>imprezy lokalne upowszechnianie informacji o działaniach, którymi administruje KOWR w ramach PROW 2014-2020, zakres tematyczny mieszany P2 i P3.</t>
  </si>
  <si>
    <t>upowszechnianie informacji o działaniach, którymi administruje ARR/KOWR w ramach PROW 2014-2020, zakres tematyczny mieszany P2 i P3, ponadto udzielane były informacje na temat działania "Współpraca", informacje o terminach składania wniosków</t>
  </si>
  <si>
    <t xml:space="preserve">Przedmiotem audycji telewizyjnych oraz radiowym były informacje o działaniach, którymi administruje ARR/KOWR w ramach PROW 2014-2020 tj. "Wsparcie działań informacyjnych i promocyjnych realizowanych przez grupy producentów na rynku wewnętrznym", "Wsparcie na przystępowanie do systemów jakości", które dotyczyły termnów składania wniosków o przyznanie pomocy, ilości złożonych wniosków, ilości beneficjentów, zasad udzielania wsparcia. </t>
  </si>
  <si>
    <t>2460 jest to ilość zakupionych pendrivów, podczas szkoleń były nagrywane na nich prezentacje i rozdawane uczestnikom</t>
  </si>
  <si>
    <t>Szkolenia z zakresu działań, którymi administruje ARR w ramach PROW 2014-2020 tj. "Wsparcie działań informacyjnych i promocyjnych realizowanych przez grupy producentów na rynku wewnętrznym", "Wsparcie na przystępowanie do systemów jakości".</t>
  </si>
  <si>
    <t xml:space="preserve">Szkolenia z zakresu działań, którymi administruje ARR/KOWR w ramach PROW 2014-2020 tj. "Wsparcie działań informacyjnych i promocyjnych realizowanych przez grupy producentów na rynku wewnętrznym". </t>
  </si>
  <si>
    <t>Województwo Kujawsko-Pomorskie</t>
  </si>
  <si>
    <r>
      <rPr>
        <sz val="10"/>
        <color theme="1"/>
        <rFont val="Calibri"/>
        <family val="2"/>
        <charset val="238"/>
        <scheme val="minor"/>
      </rPr>
      <t xml:space="preserve">Promocja osiągnięć w sferze rolnictwa i rozwoju obszarów wiejskich (promocja dobrych praktyk) ,  szkolenie i konsultacje z działania "Budowa lub modernizacja dróg lokalnych", stoisko informacyjno-promocyjne PROW 2014-2020 podczas "Kujawsko-Pomorskiego Festiwalu Gęsiny", organizacja stoiska informacyjno-promocyjnego PROW 2014-2020 podczas "Święta gęsi na Krajnie",  stoisko informacyjno-promocyjne PROW 2014-2020 podczas Dożynek Wojewódzkich, stoisko informacyjno-promocyjne PROW 2014-2020 podczas Festiwalu Smaku w Grucznie,przygotowanie panelu tematycznego pn. „Przyszłość wsi i rolnictwa w Polsce (2016-2017). Rola Programu Rozwoju Obszarów Wiejskich 2014-2020.” podczas VIII Otwartego Forum Rolników Pomorza i Kujaw; stoisko informacyjno-promocyjne PROW 2014-2020 podczas spotkania dozynkowego Rolników Pomorza i Kujaw, stoisko informacyjno-promocyjne PROW 2014-2020 podczas Turnieju Rycerskiego w Golubiu -Dobrzyniu, uroczystość podpisania i wręczenia umów dla beneficjentów PROW 2014-2020,; organizacja stoiska informacyjno promocyjnego PROW 2014-2020 podczas VII Ogólnopolskiej Konferencji Naukowej z cyklu " Procesy transformacji obszarów wiejskich" pn. "Innowacje w Rozwoju Obszarów Wiejskich";
</t>
    </r>
    <r>
      <rPr>
        <b/>
        <sz val="10"/>
        <color theme="1"/>
        <rFont val="Calibri"/>
        <family val="2"/>
        <charset val="238"/>
        <scheme val="minor"/>
      </rPr>
      <t>2015 rok</t>
    </r>
    <r>
      <rPr>
        <sz val="10"/>
        <color theme="1"/>
        <rFont val="Calibri"/>
        <family val="2"/>
        <charset val="238"/>
        <scheme val="minor"/>
      </rPr>
      <t xml:space="preserve">
międzynarodowe: V Międzynarodowe Sympozjum Naukowe dla Doktorantów i Studentów Uczelni Rolniczych  pn. „Innowacyjne badania w rolnictwie i na rzecz rozwoju obszarów wiejskich”  w Bydgoszczy ,  Europejski Kongres Menadżerów Agrobiznesu; Międzynarodowe Twrgi Polagra Food'2015 w Poznaniu 
 krajowe:   VIII Otwarte Forum Rolników Pomorza i Kujaw; Forum Turystyki Wiejskiej
</t>
    </r>
    <r>
      <rPr>
        <b/>
        <sz val="10"/>
        <color theme="1"/>
        <rFont val="Calibri"/>
        <family val="2"/>
        <charset val="238"/>
        <scheme val="minor"/>
      </rPr>
      <t>2016 rok</t>
    </r>
    <r>
      <rPr>
        <sz val="10"/>
        <color theme="1"/>
        <rFont val="Calibri"/>
        <family val="2"/>
        <charset val="238"/>
        <scheme val="minor"/>
      </rPr>
      <t xml:space="preserve">
międzynarodowe: VI Międzynarodowe Sympozjum Naukowe dla Doktorantów i Studentów Uczelni Rolniczych  pn. „Innowacyjne badania w rolnictwie i na rzecz rozwoju obszarów wiejskich”  w Bydgoszczy Międzynarodowe Twrgi Polagra Food'2016 w Poznaniu; Grune Woche'2016 w Berlinie; Euiropejska Sieć Dziedzictwa Kulinarnego Region Kujawy i Pomorze; udział w MIędzynarodowym Forum ESDK
krajowe: Forum Rolników Pomorza I Kujaw, Konferencja UTP pn. „Innowacyjne rozwiązania w produkcji rolnej i przetwórstwie rolno-spożywczym impulsem rozwoju rolnictwa Pomorza i Kujaw” ; "Kujawsko-Pomorska Gęsina na Św. Marcina" Wizyta studyjna "Produkt sieciowy i specjalizacja oferty w turystyce wiejskiej – dobre praktyki” Woj. Dolnośląskie; Wyższa Szkoła Gospodarki w Bydgoszczy  konferencja  pn. " Naukowe Obserwatorium Obszarów Wiejskich" 
</t>
    </r>
    <r>
      <rPr>
        <b/>
        <sz val="10"/>
        <color theme="1"/>
        <rFont val="Calibri"/>
        <family val="2"/>
        <charset val="238"/>
        <scheme val="minor"/>
      </rPr>
      <t xml:space="preserve">2017 rok
</t>
    </r>
    <r>
      <rPr>
        <sz val="10"/>
        <color theme="1"/>
        <rFont val="Calibri"/>
        <family val="2"/>
        <charset val="238"/>
        <scheme val="minor"/>
      </rPr>
      <t xml:space="preserve">międzynarodowe: Targi Natura Food w Łodzi, Targi World Food Warsaw, Międzynarodowe Targi Polagra Food, 
krajowe: Targi Pyszna Polska we Wrocławiu, Targi Lato na Wsi w Minikowie
regionalne: VII Piknik LEADER'2017, Konferencja podczas VI Kujawsko-Pomorskiego Forum Turystyki Wiejskiej "Wyróżnij się", Wojewódzki Dzień Pszczelarza, Forum Pszczelarzy, Wystawa "Stoły Wigilijne", 16 imprez plenerowych dofinansowanych w ramach konkursu "Wieś na weekend'2017". W ramach </t>
    </r>
    <r>
      <rPr>
        <b/>
        <sz val="10"/>
        <color theme="1"/>
        <rFont val="Calibri"/>
        <family val="2"/>
        <charset val="238"/>
        <scheme val="minor"/>
      </rPr>
      <t xml:space="preserve">planu komunikacyjnego </t>
    </r>
    <r>
      <rPr>
        <sz val="10"/>
        <color theme="1"/>
        <rFont val="Calibri"/>
        <family val="2"/>
        <charset val="238"/>
        <scheme val="minor"/>
      </rPr>
      <t>zrealizowano następujące przedsięwzięcia: spotkanie robocze dot. "Inwestycji w targowiska lub obiekty budowlane przeznaczone na cele promocji lokalnych produktów"; spotkanie z przedstawicielami Prezydium Lokalnych Grup Działania z terenu Województwa Kujawsko-Pomorskiego; spotkanie wójtów i burmistrzów z terenu Województwa Kujawsko-Pomorskiego; spotkania dot. wskaźników LSR i efektywności LGD na terenie Województwa Kujawsko-Pomorskiego; spotkanie dot. kryteriów PROW 2014-2020; spotkanie informacyjne, podsumuwujące nabór wniosków w ramach działania "Gospodarka wodno-ściekowa" dla beneficjentów PROW 2014-2020; uroczyste podpisanie i wręczenie umów na operacje w ramach podziałania 19.2 "Wsparcie na wdrażanie operacji w ramach strategii Rozowoju Lokalnego Kierowanego przez społeczność" objętego PROW 2014-2020; spotkanie informacyjne, podsumuwujące nabór wniosków w ramach działania "Inwestycje w targowiska lub obiekty budowlane przeznaczone na cele promocji loklanych produktów" dla beneficjentów PROW 2014-2020; orgaznizacja stoiska informacyjno-promocyjnego podczas VI Pikniku Leader; organizacja stoiska informacyjno-promocyjnego PROW 2014-2020 podczas Święta Pomidora; organizacja stoiska informacyjno-promocyjnego PROW 2014-2020 podczas dożynek Województwa Kujawsko-Pomorskiego; organizacja stoiska informacyjno -promocyjnego PROW 2014-2020 podczas Dnia Żurawia.</t>
    </r>
  </si>
  <si>
    <r>
      <rPr>
        <b/>
        <sz val="10"/>
        <color indexed="8"/>
        <rFont val="Calibri"/>
        <family val="2"/>
        <charset val="238"/>
      </rPr>
      <t>2015 rok</t>
    </r>
    <r>
      <rPr>
        <sz val="10"/>
        <color indexed="8"/>
        <rFont val="Calibri"/>
        <family val="2"/>
        <charset val="238"/>
      </rPr>
      <t xml:space="preserve">
międzynarodowe:  Sympozjum naukowe - 150, Europejkis Kongres - 90, Polagra Food - 10 (wystawcy)
krajowe: Forum Turystyki Wiejskiej - 120; Forum Rolników POmorza i Kujaw - 78
</t>
    </r>
    <r>
      <rPr>
        <b/>
        <sz val="10"/>
        <color indexed="8"/>
        <rFont val="Calibri"/>
        <family val="2"/>
        <charset val="238"/>
      </rPr>
      <t>2016 rok</t>
    </r>
    <r>
      <rPr>
        <sz val="10"/>
        <color indexed="8"/>
        <rFont val="Calibri"/>
        <family val="2"/>
        <charset val="238"/>
      </rPr>
      <t xml:space="preserve">
międzynarodow - Grune Woche - 12 (wystawcy), 400.000 (odwiedzający);Forum Rolników Pomorza i Kujaw - 78, Gęsina - 
krajowe: Festiwal smaku - 35012,  Gęsina - 5745; Turniej - 8585
</t>
    </r>
    <r>
      <rPr>
        <b/>
        <sz val="10"/>
        <color indexed="8"/>
        <rFont val="Calibri"/>
        <family val="2"/>
        <charset val="238"/>
      </rPr>
      <t>2017 rok</t>
    </r>
    <r>
      <rPr>
        <sz val="10"/>
        <color indexed="8"/>
        <rFont val="Calibri"/>
        <family val="2"/>
        <charset val="238"/>
      </rPr>
      <t xml:space="preserve">
międzynarodowe: NaturaFood - 1 (wystawcy), 20.000 (odwiedzający), World Food - 1 (wystawcy), 4.738 (odwiedzający), Polagra 6 (wystawcy) 25.000 (odwiedzający), 
krajowe: Pyszna Polska - 1 (wystawcy) 12.000 (odwiedzający), Targi Lato na Wsi - 1 (wystawcy), 20.000 (odwiedzający)
regionalne: Piknik LEADER - 600, Konferencja Forum Turystyki - 110, Dzień Pszczelarza - 3.000, Forum Pszczelarzy - 802, Stoły Wigilijne - 10 (wystawcy) 1.000 (odwiedzający), "Wieś na weekend'2017" - 28.100, wydarzzenia w ramach Planu Komunikacyjnego - 1.998.</t>
    </r>
  </si>
  <si>
    <r>
      <t xml:space="preserve">W zestawieniu ujęto następujące adresy stron:
1. www.kujawsko-pomorskie.ksow.pl 
2. www.agroturystyka.kpodr.pl
3. www.mojregion.eu 
( brak danych za 2015 r. dla stron okrelonych w pkt 2-3)
W zestawieniu za </t>
    </r>
    <r>
      <rPr>
        <b/>
        <sz val="10"/>
        <color indexed="8"/>
        <rFont val="Calibri"/>
        <family val="2"/>
        <charset val="238"/>
      </rPr>
      <t>2017 r.</t>
    </r>
    <r>
      <rPr>
        <sz val="10"/>
        <color indexed="8"/>
        <rFont val="Calibri"/>
        <family val="2"/>
        <charset val="238"/>
      </rPr>
      <t xml:space="preserve"> ujęto następujące adresy stron:
1. www.kujawsko-pomorskie.ksow.pl 
2. www.alewioska.kujawsko-pomorskie.travel
</t>
    </r>
    <r>
      <rPr>
        <sz val="10"/>
        <rFont val="Calibri"/>
        <family val="2"/>
        <charset val="238"/>
      </rPr>
      <t xml:space="preserve">3. www.mojregion.eu </t>
    </r>
  </si>
  <si>
    <t>Inne lub mieszane (proszę doprecyzuj w komentarzach)*</t>
  </si>
  <si>
    <t>*popularyzacja osiągnięć w sferze rolnictwa i rozwoju obszarów wiejskich oraz  promocja osób zasłużonych dla tego rzwoju</t>
  </si>
  <si>
    <t>grupa robocza ds.  KSOW, podejmująca uchwały ws. plaów i sprawozdań</t>
  </si>
  <si>
    <t>W 2015 r. prowadzono konsultacjeprzy opracowywaniu Planu działania KSOW pomiędzy różnymi organizacjami partnerów i ich przedstawicielami w celu ułatwiania wymiany poglądów, pomysłów i doświadczeń oraz przekazania informacji nt. nowych zasad wdrażania  pomocy technicznej KSOW</t>
  </si>
  <si>
    <t>Rodzaj działania - konferencja podsumowkująca projekt</t>
  </si>
  <si>
    <t xml:space="preserve"> przedstawiciele władz samorządowych z regionu, mieszkańcy terenów wiejskich, potencjalni beneficjenci PROW 2014-2020, przedstawiciele uczelni wyższych, </t>
  </si>
  <si>
    <t xml:space="preserve"> Samorząd Województwa Łódzkiego </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</si>
  <si>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budżet dla poszczególnych kategorii i wskaż trudności w komentarzu.</t>
    </r>
    <r>
      <rPr>
        <sz val="12"/>
        <color indexed="8"/>
        <rFont val="Calibri"/>
        <family val="2"/>
      </rPr>
      <t xml:space="preserve">
</t>
    </r>
    <r>
      <rPr>
        <b/>
        <u/>
        <sz val="12"/>
        <color indexed="8"/>
        <rFont val="Calibri"/>
        <family val="2"/>
        <charset val="238"/>
      </rPr>
      <t/>
    </r>
  </si>
  <si>
    <t xml:space="preserve">Udział w Międzynarodowych Targach Turystyki Wiejskiej i Agroturystyki Agrotravel podczas którego województwo łódzkie i mazowieckie wspólnie zrealizowały projekt pn. "Pociąg do natury", który wygrał Międzynarodowe Targi Turystyki Wiejskiej i Agroturystyki Agrotravel. Podczas targów w przedmiotowym wydarzeniu brały udział również inne jednostki regionalne KSOW. Szacuje się udział 20 000 odwiedzających stoisko województwa łódzkiego  oraz udział 40 osób tj. wystawców.  Zakres tematyczny inne lub mieszane dotyczy udziału samorządu województwa łódzkiego  w wydarzeniach organizowanych przez jednostki samorządu terytorialnego, powiatowego, koła gospodyń wiejskich, sieć LGD, beneficjentów PROW 2014-2020 , gdzie w  ramach  seminariów  informacyjnych przekazywano wiedzę dotyczącą możliwości wykorzystania środków w ramach PROW 2014-2020  m in. Mixer Regionalny finansowany ze środków województwa łódzkiego.    W 2017 r. województwo łódzkie było regionem partnerskim podczas organizacji IX Międzynarodowych Targów Turystyki Wiejskiej i Agroturystyki Agrotravel. Szacuje się, że stoisko odwiedziło 23 000 osób zwiedzających targi, a podczas całego wydarzenia brało udział 120 osób podwystawców reprezentujących nasze region (21 podwystawców  i 4 zespoły).  W ramach Planu Komunikacyjnego uczestniczono w 5 imprezach wystawienniczych (Dożynki Wojewódzkie, Dożynki Prezydenckie, Targi Natura Food, Mixer Regionalny, Dni Turystyki), gdzie stoisko województwa łódzkiego odwiedziło 8600 osób. Zakres tematyczny inne lub mieszane dotyczy udziału samorządu województwa łódzkiego  w wydarzeniach organizowanych przez jednostki samorządu terytorialnego, powiatowego, koła gospodyń wiejskich, sieć LGD, beneficjentów PROW 2014-2020 , gdzie w  ramach 29   seminariów  informacyjnych przekazywano wiedzę dotyczącą możliwości wykorzystania środków w ramach PROW 2014-2020. </t>
  </si>
  <si>
    <t xml:space="preserve">Udział w Międzynarodowych Targach Turystyki Wiejskiej i Agroturystyki. Szacuje się udział 20 000 odwiedzających stoisko województwa łódzkiego  oraz udział 40 osób tj. wystawców.  W 2017 r. podczas udziału w IX Międzynarodowych Targach Turystyki Wiejskiej i Agroturystyki oszacowano, że stoisko województwa łódzkiego odwiedziło 23 000 osób zwiedzających targi, a podczas całego wydarzenia brało udział 120 osób podwystawców reprezentujących nasz region  (21podwystawców  i 4 zespoły).  Udział w 5 wydarzeniach plenerowych stoisko województwa łódzkiego odwiedziło 8600 osób oraz udział w 29 seminariach w których wzięło udział 3925 uczestników. </t>
  </si>
  <si>
    <t xml:space="preserve">W ramach Planu operacyjnego zrealizowano : broszurę w ramach konkursu Bezpieczne Gospodarstwo Rolne, projekt graficzny publikacji "Pociąg do natury",  Trzy numery kwartalnika Wprowadzamy Zmiany", Opublikowano 7 ogłoszenia dotyczące pozyskania środków w ramach PROW 2014-2020 . Tematy mieszane w związku z powyższym 10 z publikacji tj. ogłoszenia i kwartalnik zakwalifikowano do zakresu tematycznego inne lub mieszane. W 2017 r. opublikowano 6 ogłoszeń prasowych  oraz cztery numery kwartalnika "Wprowadzamy Zmiany" tematyka dotycząca pozyskiwania środków w ramach PROW 2014-2020, dlatego zakwalifikowano do tematów mieszanych. </t>
  </si>
  <si>
    <t xml:space="preserve">W ramach konkursu Bezpieczne gospodarstwo rolne wykonano program telewizyjny promujący fundusze unijne. Łącznie w 7 konkursach wzięło udział  1309 przedstawicieli, a ich liczba nie została dodana do tabeli 1.2  i nie  dodano ich do liczby wydarzeń , celem uniknięcia  podwójnego liczenia kosztów.  W ramach Planu komunikacyjnego  wykonano zgodnie z projektami graficznymi następujące nośniki informacji tj. 4  rollupy i ściankę informacyjną oraz zakupiono materiały promocyjne w postaci  produktów regionalnych. W 2015 r . zakupiono  trzy rodzaje miodów, a  w 2016 r. syrop malinowy, sok jabłkowy, sok pomidorowy, konfitura agrestowa, kwas chlebowy  oraz  zestawy tych produktów w koszach. W 2017 r . zorganizowano 5 konkursów w których wzięło udział 251 osób , a ich liczba nie została uwzględniona w tabeli nr 1.2 i nie dodano ich do liczby wydarzeń, celem uniknięcia podwójnego liczenia kosztów. </t>
  </si>
  <si>
    <t xml:space="preserve">Wojewódzka Grupa Robocza ds. KSOW w ramach PROW 2014-2020 została powołana w lipcu 2015 r , a jej zakres prac dotyczy całego obszaru KSOW. </t>
  </si>
  <si>
    <t xml:space="preserve">Wojewódzka Grupa Robocza zajmuje się tematyką dotyczącą całego KSOW w ramach PROW 2014-2020 , a tym samym poruszane są problemy dotyczące obszarów wiejskich we wszystkich aspektach. </t>
  </si>
  <si>
    <t>Liczba artykułów /informacji do publikacji ENRD/ EIP</t>
  </si>
  <si>
    <t xml:space="preserve">Organizacja przez samorząd województwa łódzkiego trzech szkolenia dotyczące: budowy i modernizacji dróg lokalnych,  szkolenie poświęcone dostosowaniu procedur przeprowadzenia naboru i wyboru operacji do nowych wytycznych Ministra Rolnictwa i Rozwoju Wsi i rozporządzenia RLKS, szkolenie dotyczące kwalifikowalności kosztów oraz wypełniania wniosków o przyznanie pomocy na operacje z zakresu gospodarki wodno-kanalizacyjnej. Na szkoleniach omówione zostały zasady wypełniania wniosku o przyznanie pomocy, realizacji projektów, informacje dotyczące poprawnie przeprowadzonego postępowania o udzielenie zamówienia publicznego oraz wytyczne wynikające ze stanowiska Ministerstwa Rolnictwa i Rozwoju Wsi, Podczas szkolenia przekazywano informację nt. możliwości wykorzystania innych środków w ramach działań PROW 20014-2020.  Wzięło w nim udział 514 przedstawicieli gmin, powiatów i lokalnych grup działania z terenu województwa łódzkiego.  W  2017 r. samorząd województwa łódzkiego zorganizował 14 szkoleń dotyczących: podstawowych usług i odnowa wsi na obszarach wiejskich, inwestycje z zakresu budowy i modernizacji dróg lokalnych oraz gospodarki wodnościekowej, wsparcie dla strategii RLKS, . W szkoleniach wzięło udział 628 osób. </t>
  </si>
  <si>
    <t>Uczestnicy szkoleń to: potencjalni beneficjenci działań PROW 2014-2020, przedsiębiorcy, młodzi rolnicy , przedstawiciele jednostek samorządu terytorialnego, dzieci i młodzież z obszarów wiejskich województwa łódzkiego, koła gospodyń wiejskich, pszczelarze, przedstawiciele LGD.</t>
  </si>
  <si>
    <t xml:space="preserve">Koszty wynagrodzeń, najem i utrzymanie powierzchni biurowych, usługi telekomunikacyjne i pocztowe, koszty delegacji . W ramach kosztów funkcjonowania 6 lutego  2017 r.  zorganizowano spotkanie robocze  dla 50 osób nt. konkursu nr 1 dla partnerów KSOW. Liczba ta nie została uwzględniona we wskaźnikach tabeli 6  </t>
  </si>
  <si>
    <t>SR KSOW Województwa Lubelskiego</t>
  </si>
  <si>
    <t xml:space="preserve">W 2017 roku zostały zorganizowane 22 wydarzenia o zasięgu lokalnym, 3 o zasigu krajowym dotyczy to udziału UMWL w tarcgach Natura Food w Łodzi, Smaki Regionów w Poznaniu oraz Targi Ekogala w Rzeszowie. Wydarzenia międzynarodowe dotyczą wyjazdów studyjno szkoleniowych do Belgii i do Chorwacji. </t>
  </si>
  <si>
    <t xml:space="preserve">Liczba zorganizowanych wydarzeń w 2015 roku dotyczy przedsięwzięć zrealizowanych w ramach planu operacyjnego i komuniakacyjnego, który jest częscią planu operacyjnego. W ramach wskazanego planu operacyjnego zorganizowano 14 wydarzeń. Wskazano w poz. 1.11 operacji, natomiast pozostałe 3 zadania zostały ujete w poz.2.3 przedmiotowej tabeli.  Inne- projekt realizowany  w ramach Priorytetu I oraz III.   Przeznaczony dla dordaców oraz beneficjentów wspierających rolnictwo a jednocześnie nastawiony na promocję zasobów naturalnych. (III). Zakres tematyczny  w 2016 roku w kolumnie inne zoastał ujeta konferencja informacyjno - szkoleniowa  dla liderów działających na rzecz rozwoju obszarów wiejskich (P 2,3,6  ). Całkowity koszt gadżetów został ujety w tabeli 8 w pozycji w tym wydarzenia (tab 1) rozdyspopnowanych  podczas wydarzeń. Liczba zorganizowanych  wydarzeń w 2016 roku dotyczy przesięwzięć zrealizowanych w ramach planu operacyjnegi i komunikacyjnego. W ramach planu operacyjnego zorganizowano 24 wydarzenia. 23 to wydarzenia o zasięgu lokalnym, jedno wydarzenie o zasięgu międzynarodowym. W ramach przedięwzięcia o zasiegu miedzynarodowym została zorganizowana 2-dniowa konferencja pt: "Krowanie rozwoju Lubelszczyzny w oparciu o dobre praktyki krajowe i międzynarodowe" wraz z wyjazdem studyjnym, którego uczestnikami byli przedstawicele stowarzyszenia Bihar-Sarret Videkfejlesztesi Egyesulet z Węgier.                              </t>
  </si>
  <si>
    <t>W 2017 roku w wydarzeniach lokalnych/regionalnych na podstawie list obecności udział wzięło 2210 osób. W wydarzeniach krajowych tj. targach odbywających się w Łodzi - Natura Food, Poznaniu - Polagra oraz Rzeszowie- Ekogala, łącznie  liczba osób wizytujacych imprezę około 72000 osób w tym 21 osób przedstawicieli i wystawców Urzędu Marszałkowskiego Województwa Lubelskiego. W wydarzeniach miedzynarodowych tj. wyjazd studyjno - szkoleniowy do Chorwacji wzięło udział 25 osób, wyjazd studyjno - szkoleniowy do Belgii -  28 osób.</t>
  </si>
  <si>
    <t xml:space="preserve">W ramach jednego zadania są trzy listy np. uczestników konferencji, wystawców i np. dzieci biorących udział w konkursie. Problmetyczne jest określenie, czy mamy sumować wszystkich uczestników, jeśli na danych listach są osoby,  które brały udział zarówno w konferencji, jak i konkursach. W 2016 roku zorganizowano konferencję 2-dniową z wyjazdem studyjnym o zasiegu międzynarodowym. W konferencji wzięło udział pierwszego dnia 50 osób t tym 16 osób z Węgier, drugiego dnia konferencji uczestników było 100 osób w tym 16 osób z Węgier.    </t>
  </si>
  <si>
    <t xml:space="preserve"> Do dnia 2 lipca 2016 roku używane były stataystyki google analytics. Od 2 lipca 2016 roku wraz ze stworzeniem nowej strony internetowej używamy nowego narzędzia do prowadzenia statystyk o nazwie Piwik open Source Web Analytics.Używane strony internetowe ksow.lubelskie oraz prow.lubelskie.</t>
  </si>
  <si>
    <t>Media społecznościowe:  Facebook</t>
  </si>
  <si>
    <t>W kolumnie inne podano liczbę newsletterów. Liczba newsletterów w 2016 roku wynosi 105.  W kolumnie liczba publikacji podana jest liczba publikacji. Natomiast nakład trzech  publikacji łącznie w 2015 roku wynosił 31500 sztuk, natomiast w 2016 roku nakład łącznie 4 publikacji wyniósł 17890 sztuk.   W 2017 roku nakład łacznie 3 publikacji wyniósl 15 500 sztuk. W koumnie inne ujęto liczbę newsletterów.</t>
  </si>
  <si>
    <t>W 2017 roku w ramach Planu komunikacyjnego zostały wyemitowane 4 audycje radiowe dotyczące PROW 2014-2020.</t>
  </si>
  <si>
    <t xml:space="preserve">Nie zostały zorganizowane w ramach wsparcia sieci konkursów, natomiast odbyły się w ramach dużych przedsięwzięć konkursy np. dla dzieci uczestniczących w festynie czy imprezie plenerowej. Były to konkursy organizowane w ramach </t>
  </si>
  <si>
    <t xml:space="preserve">  Spotkanie odbyło się w 2015 roku i było związane miedzy innymi z pracami nad Planem Operacyjnym oraz Działania na lata 2014-2020. W 2016 roku odbył się 3  spotkania Grupy Roboczej ds. KSOW, które związane były między innymi z zaopiniowaniem zmian w PO na lata 2016-2017, zaopiniowaniem informacji półrocznej na dzień 30 kwietnia 2016 r oraz spotkanie w sprawie zaopiniowania informacji półrocznej  na dzień 31 sierpnia 2016.W 2017 roku odbyło się 7 glosowań/ spotkań Wojewódzkiej Grupy Roboiczej do spraw KSOW WL.  W spotkaniach/głosowaniach GR zatwierdzała miedzy innymi projekt PO SR KSOW WL na lata 2016-2017 częśc II 2017,  sprawozdanie roczne z realizacji Planu Działania SR KSOW, projekt informacji półrocznej, zmiany w PO JR.  </t>
  </si>
  <si>
    <t>W 2017 roku odbyło się 4 szkolenia oraz 1 warsztaty w tym 4 szkolenia dwudniowe w zwiazku z tym wpisano 9 dni szkoleniowych. W 2017 roku odbyły się trzy wyjazdy studyjne - 5 , 6 oraz 2  dniowy.</t>
  </si>
  <si>
    <t xml:space="preserve">Dwa spotkania szkoleniowe w 2015 roku dla LGD w ramach współpracy i rozwiązywania problemów zgłaszanych przez partnerów KSOW. Każde szkolenia trwało jeden dzień a więc sumując dwa szkolenia to dwa dni. W 2016 roku odbyły się trzy szkolenia dla LGD w tym jedno dwudniowe w związku z tym wpisano trzy dni szkoleniowe. </t>
  </si>
  <si>
    <t xml:space="preserve">W 2017 roku w kolunmie "inne" wpisano liczbe przedstawicieli UMWL bioracych udział w szkoleniach, wyjazdach. </t>
  </si>
  <si>
    <t xml:space="preserve">W 2015 roku w ramach dwóch spotkań szkoleniowych brało udział: w jednym szkoleniu 50 osób a w drugim 390 osób. W 2016 roku w trzech szkoleniach brało udział 142 osoby z LGD oraz 23-ech przedstawicieli Urzędu Marzałkowskiego Województwa Lubelskiego. </t>
  </si>
  <si>
    <t xml:space="preserve"> Koszty funkcjonowania dotyczą: zatrudnienia pracowników KSOW oraz zakupu sprzętu, oprogramowania, licncje i wyposażenia biurowego dla SR KSOW WL. </t>
  </si>
  <si>
    <t>SR KSOW Województwa Lubuskiego</t>
  </si>
  <si>
    <t xml:space="preserve"> 2015 rok- Zadania krajowe - dotyczy wyjazdu studyjnego do woj. Dolnośląskiego oraz udziału w Dożynkach Prezydenckich w Spale , Inne - dotyczywykonania materiałów informacyjno - promocyjnych    oraz kalendarzy na 2016 rok (2 zadania)                                                                                          2016 rok - Inne: dotyczy wykonania materiałów informacyjno - promocyjnych (2 zadania)  oraz wykonania kalendarzy na 2017 rok, zasięg zadania - lokalny/regionalny - jako promocja programu i KSOW na terenie Województwa Lubuskiego.                                                                                                                                                                                                                                                              Zadanie krajowe: Wyjazd  studyjno szkoleniowy do Skierniewic, dla sadowników i doradców rolnych - organizator SR KSOW woj. lubuskie, jednostak sieci - Lubuski Ośrodek Doradztwa Rolniczego w Kalsku oraz wyjazd studyjny do Województwa Małopolskiego  organizator SR KSOW woj. lubuskie, jednostak sieci - przedstawiciele lokalnych grup działania                                                                                                                                                               Zadanie międzynarodowe - dotyczy organizacji i udziału w Międzynarodowych Targach Grune Woche 2016  oraz wyjazd studyjny do Republiki Czeskiej                                                                                                                                                                                                                                                                                                                           2017 -  Zadanie międzynarodowe - dotyczy organizacji i udziału w Międzynarodowych Targach Grune Woche   2017 , inne dotyczy  wykonania badania/ekspertyzy dot. młodzieży na obszarach wiejskich, wyjazdu krajowego do woj. zachodnipomorskiego, wydania publikacji, organizacji warsztatów i konferencji nt. PROW, szkolenia nt, sanitacji wsi z PROW.                                                                                                                                                     </t>
  </si>
  <si>
    <t>2015 rok - Zadanie krajowe - wskaźnik/ilość uczestników dotyczy uczestników wyjazdu studyjnego do woj. Dolnośląskiego 18 osób oraz 15 uczestników/wystawców podczas Dożynek Prezydenckich 2015 w Spale                                                                                                                                                                                                                                                                                                                                               2016 rok -Zadanie: Wyjazd  studyjno szkoleniowy do Skierniewic, dla sadoników i doardców rolnych - organizator SR KSOW woj. lubuskie, jednostak sieci - Lubuski Ośrodek Doradztwa Rolniczego w Kalsku - wskaźnik/ilość uczestników - 25  oraz wyjazd studyjny do Województwa Małopolskiego  organizator SR KSOW woj. lubuskie, jednostak sieci - przedstawiciele lokalnych grup działania    - wskaźnik/ilość uczestników 15                                                                                                                                                                                                 Liczba uczestników wydarzenia międzynarodowego - szacowane ok. 400 000 osób, które odwiedziło Targi Grune Woche 2016. Liczbę szacunkową otrzymano ze strony internetowej: www.targiberlinskie.pl. oraz  wskaźnik/ilość uczestników - 11 wyjazd studyjny do Republiki Czeskiej                              2017 - Liczba uczestników wydarzenia międzynarodowego - szacowane ok. 300 000 osób, które odwiedziło Targi Grune Woche 2017. Liczbę szacunkową otrzymano ze strony internetowej: www.targiberlinskie.pl.</t>
  </si>
  <si>
    <t>Inne - dot. artykułów w prasie nt. PROW, wydania ekspertyzy/badania oraz mapy imprez regionalnych</t>
  </si>
  <si>
    <t>W ramach Planu działania KSOW na lata 2014 – 2020 w działaniu 12 zidentyfikowano 3 dobre praktyki: Konkurs Najpiękniejsza Wieś Lubuska 2016, Cykl artykułów do czasopisma samorządowego REGION, imprezę pn.Powiatowy Folk Festiwal.                                                                                                           w roku 2017 - zidentyfikowano 5 dobrych praktyk. w tym: działanie 4 - Wspólne Lubuskie gwarancją sukcesu - projekt partnerski, działanie 6 -Wydanie ekpertyzy - projekt własny, działanie 9 - OZE, moda czy biznes? - projekt partnerski wyjazd szkoleniowy, działanie 12 - Dni Otwartych Farm, działanie 13 - wydanie publikacji na temat imprez cyklicznych</t>
  </si>
  <si>
    <t>Wojewódzka Grupa Robocza - realizacja priorytetów KSOW, przygotowywanie dwuletnich Planów Operacyjnych, opiniowanie zmian PO oraz Planu Działania KSOW na lata 2014 - 2020., identyfikacja i analiza potrzeb regionu w kontekście zadań KSOW.</t>
  </si>
  <si>
    <t>Inne: 1) wyjazd studyjno szkoleniowy do Skierniewic, dla sadoników i doradców rolnych - 25 osób, 2) Wyjazd studyjny  szkoleniowy do Iłowy, dla społeczności wiejskiej - 69</t>
  </si>
  <si>
    <t>Inne - liczba uczestników dotyczy wyjzdu studyjnego do Skierniewic (sadownicy), który był połączeniem szkolenia oraz wyjazdu studyjnego</t>
  </si>
  <si>
    <r>
      <rPr>
        <b/>
        <sz val="12"/>
        <color theme="1"/>
        <rFont val="Calibri"/>
        <family val="2"/>
      </rPr>
      <t xml:space="preserve">Komentarze </t>
    </r>
    <r>
      <rPr>
        <sz val="10"/>
        <color theme="1"/>
        <rFont val="Calibri"/>
        <family val="2"/>
      </rPr>
      <t>(proszę wskazać także inne kategorie)</t>
    </r>
  </si>
  <si>
    <t xml:space="preserve">Na koszty funkcjonowania składają się: wynagrodzenia, obsługa prawna, czynsz, telefony, media, delegacje </t>
  </si>
  <si>
    <t>[Województwo Małopolskie]</t>
  </si>
  <si>
    <r>
      <rPr>
        <b/>
        <u/>
        <sz val="11"/>
        <color theme="1"/>
        <rFont val="Calibri"/>
        <family val="2"/>
        <charset val="238"/>
        <scheme val="minor"/>
      </rPr>
      <t xml:space="preserve">Rok 2015:  </t>
    </r>
    <r>
      <rPr>
        <b/>
        <sz val="11"/>
        <color theme="1"/>
        <rFont val="Calibri"/>
        <family val="2"/>
        <charset val="238"/>
        <scheme val="minor"/>
      </rPr>
      <t xml:space="preserve">Wydarzenia krajowe: </t>
    </r>
    <r>
      <rPr>
        <sz val="11"/>
        <color theme="1"/>
        <rFont val="Calibri"/>
        <family val="2"/>
        <charset val="238"/>
        <scheme val="minor"/>
      </rPr>
      <t xml:space="preserve">Udział w targach Smaki Regionów, Udział w Dożynkach Prezydenckich w Spale. </t>
    </r>
    <r>
      <rPr>
        <b/>
        <sz val="11"/>
        <color theme="1"/>
        <rFont val="Calibri"/>
        <family val="2"/>
        <charset val="238"/>
        <scheme val="minor"/>
      </rPr>
      <t>Wydarzenia lokalne/regionalne:</t>
    </r>
    <r>
      <rPr>
        <sz val="11"/>
        <color theme="1"/>
        <rFont val="Calibri"/>
        <family val="2"/>
        <charset val="238"/>
        <scheme val="minor"/>
      </rPr>
      <t xml:space="preserve"> Szkolenie dla instytucji wdrażającej PROW 2014-2020 w dniu 21.12.2015 r. Wykonanie materiałów promocyjnych - promocja PROW 2014 - 2020 . Kampania Zasmakuj  w Małopolsce, Udział w Targach Horeca Gastrofood w Krakowie.</t>
    </r>
    <r>
      <rPr>
        <u/>
        <sz val="11"/>
        <color theme="1"/>
        <rFont val="Calibri"/>
        <family val="2"/>
        <charset val="238"/>
        <scheme val="minor"/>
      </rPr>
      <t xml:space="preserve"> </t>
    </r>
    <r>
      <rPr>
        <b/>
        <u/>
        <sz val="11"/>
        <color theme="1"/>
        <rFont val="Calibri"/>
        <family val="2"/>
        <charset val="238"/>
        <scheme val="minor"/>
      </rPr>
      <t>Rok 2016</t>
    </r>
    <r>
      <rPr>
        <u/>
        <sz val="11"/>
        <color theme="1"/>
        <rFont val="Calibri"/>
        <family val="2"/>
        <charset val="238"/>
        <scheme val="minor"/>
      </rPr>
      <t>:</t>
    </r>
    <r>
      <rPr>
        <sz val="11"/>
        <color theme="1"/>
        <rFont val="Calibri"/>
        <family val="2"/>
        <charset val="238"/>
        <scheme val="minor"/>
      </rPr>
      <t xml:space="preserve"> W</t>
    </r>
    <r>
      <rPr>
        <b/>
        <sz val="11"/>
        <color theme="1"/>
        <rFont val="Calibri"/>
        <family val="2"/>
        <charset val="238"/>
        <scheme val="minor"/>
      </rPr>
      <t>ydarzenia lokalne/regionalne:</t>
    </r>
    <r>
      <rPr>
        <sz val="11"/>
        <color theme="1"/>
        <rFont val="Calibri"/>
        <family val="2"/>
        <charset val="238"/>
        <scheme val="minor"/>
      </rPr>
      <t xml:space="preserve"> Uroczyste wręczenie umów LGD na realizację LSR: Kraków,Tarnów, Nowy Sącz, Szkolenia, spotkania, warsztaty dla potencjalnych beneficjentów PROW 2014-2020, Spotkanie - Forum Wojtów, Burmistrzów i Prezydentów Malopolski, </t>
    </r>
    <r>
      <rPr>
        <b/>
        <sz val="11"/>
        <color theme="1"/>
        <rFont val="Calibri"/>
        <family val="2"/>
        <charset val="238"/>
        <scheme val="minor"/>
      </rPr>
      <t xml:space="preserve">Wydarzenia międzynarodowe: </t>
    </r>
    <r>
      <rPr>
        <sz val="11"/>
        <color theme="1"/>
        <rFont val="Calibri"/>
        <family val="2"/>
        <charset val="238"/>
        <scheme val="minor"/>
      </rPr>
      <t xml:space="preserve">Udział w Międzynarodowych Targach Rolno-Spożywczych Grune Woche, </t>
    </r>
    <r>
      <rPr>
        <b/>
        <sz val="11"/>
        <color theme="1"/>
        <rFont val="Calibri"/>
        <family val="2"/>
        <charset val="238"/>
        <scheme val="minor"/>
      </rPr>
      <t xml:space="preserve">Wydarzenia krajowe: </t>
    </r>
    <r>
      <rPr>
        <sz val="11"/>
        <color theme="1"/>
        <rFont val="Calibri"/>
        <family val="2"/>
        <charset val="238"/>
        <scheme val="minor"/>
      </rPr>
      <t>Udział w targach Agrotravel w Kielcach, udział w targach Produktów Regionalnych Regionalia w Warszawie, udział w targach Smaki Regionów w Poznaniu.</t>
    </r>
    <r>
      <rPr>
        <u/>
        <sz val="11"/>
        <color theme="1"/>
        <rFont val="Calibri"/>
        <family val="2"/>
        <charset val="238"/>
        <scheme val="minor"/>
      </rPr>
      <t xml:space="preserve"> </t>
    </r>
    <r>
      <rPr>
        <b/>
        <u/>
        <sz val="11"/>
        <color theme="1"/>
        <rFont val="Calibri"/>
        <family val="2"/>
        <charset val="238"/>
        <scheme val="minor"/>
      </rPr>
      <t>Rok 2017:</t>
    </r>
    <r>
      <rPr>
        <sz val="11"/>
        <color theme="1"/>
        <rFont val="Calibri"/>
        <family val="2"/>
        <charset val="238"/>
        <scheme val="minor"/>
      </rPr>
      <t xml:space="preserve">  Wydarzenia międzynarodowe: Udział w Międzynarodowych Targach Rolno-Spożywczych Grune Woche. Wydarzenia lokalne/regionalne: 3 spotkania - Uroczyste wręcznie umów wod-kan (Kraków, Tarnów, Nowy Sącz). Projekty partnerów KSOW pn.: 2 imprezy plenerowe. Wramach projektu szkoleniowego partnera KSOW  - stoisko informacyjne podczas 3 imprez w plenerze.</t>
    </r>
  </si>
  <si>
    <r>
      <rPr>
        <b/>
        <u/>
        <sz val="11"/>
        <color theme="1"/>
        <rFont val="Calibri"/>
        <family val="2"/>
        <charset val="238"/>
        <scheme val="minor"/>
      </rPr>
      <t>Rok 2015:</t>
    </r>
    <r>
      <rPr>
        <sz val="11"/>
        <color theme="1"/>
        <rFont val="Calibri"/>
        <family val="2"/>
        <charset val="238"/>
        <scheme val="minor"/>
      </rPr>
      <t xml:space="preserve"> </t>
    </r>
    <r>
      <rPr>
        <b/>
        <sz val="11"/>
        <color theme="1"/>
        <rFont val="Calibri"/>
        <family val="2"/>
        <charset val="238"/>
        <scheme val="minor"/>
      </rPr>
      <t xml:space="preserve">Wydarzenia krajowe: </t>
    </r>
    <r>
      <rPr>
        <sz val="11"/>
        <color theme="1"/>
        <rFont val="Calibri"/>
        <family val="2"/>
        <charset val="238"/>
        <scheme val="minor"/>
      </rPr>
      <t>Udział w targach Smaki Regionów, Udział w Dożynkach Prezydenckich w Spale.</t>
    </r>
    <r>
      <rPr>
        <b/>
        <sz val="11"/>
        <color theme="1"/>
        <rFont val="Calibri"/>
        <family val="2"/>
        <charset val="238"/>
        <scheme val="minor"/>
      </rPr>
      <t xml:space="preserve"> Wydarzenia lokalne/regionalne: </t>
    </r>
    <r>
      <rPr>
        <sz val="11"/>
        <color theme="1"/>
        <rFont val="Calibri"/>
        <family val="2"/>
        <charset val="238"/>
        <scheme val="minor"/>
      </rPr>
      <t>Szkolenie dla instytucji wdrażającej PROW 2014-2020 w dniu 21.12.2015 r. Wykonanie materiałów promocyjnych - promocja PROW 2014 - 2020 . Kampania Zasmakuj  w Małopolsce, Udział w Targach Horeca Gastrofood w Krakowie.</t>
    </r>
    <r>
      <rPr>
        <b/>
        <sz val="11"/>
        <color theme="1"/>
        <rFont val="Calibri"/>
        <family val="2"/>
        <charset val="238"/>
        <scheme val="minor"/>
      </rPr>
      <t xml:space="preserve"> </t>
    </r>
    <r>
      <rPr>
        <b/>
        <u/>
        <sz val="11"/>
        <color theme="1"/>
        <rFont val="Calibri"/>
        <family val="2"/>
        <charset val="238"/>
        <scheme val="minor"/>
      </rPr>
      <t>Rok 2016</t>
    </r>
    <r>
      <rPr>
        <b/>
        <sz val="11"/>
        <color theme="1"/>
        <rFont val="Calibri"/>
        <family val="2"/>
        <charset val="238"/>
        <scheme val="minor"/>
      </rPr>
      <t xml:space="preserve">: Wydarzenia międzynarodowe: </t>
    </r>
    <r>
      <rPr>
        <sz val="11"/>
        <color theme="1"/>
        <rFont val="Calibri"/>
        <family val="2"/>
        <charset val="238"/>
        <scheme val="minor"/>
      </rPr>
      <t xml:space="preserve">Udział w Targach Grune Woche w Berlinie: około 400 000,00 - odwiedzających, </t>
    </r>
    <r>
      <rPr>
        <b/>
        <sz val="11"/>
        <color theme="1"/>
        <rFont val="Calibri"/>
        <family val="2"/>
        <charset val="238"/>
        <scheme val="minor"/>
      </rPr>
      <t>Wydarzenia krajowe</t>
    </r>
    <r>
      <rPr>
        <sz val="11"/>
        <color theme="1"/>
        <rFont val="Calibri"/>
        <family val="2"/>
        <charset val="238"/>
        <scheme val="minor"/>
      </rPr>
      <t xml:space="preserve">: Agrotravel w Kielcach: około 20 000,00 - odwiedzających, Regionalia w Warszawie: około 12 000,00 - odwiedzających, , Promocja Województwa Małopolskiego na targach Smaki Regionów w Poznaniu około 500 000 odwiedzających, </t>
    </r>
    <r>
      <rPr>
        <b/>
        <sz val="11"/>
        <color theme="1"/>
        <rFont val="Calibri"/>
        <family val="2"/>
        <charset val="238"/>
        <scheme val="minor"/>
      </rPr>
      <t>Wydarzenia lokalne/regionalne</t>
    </r>
    <r>
      <rPr>
        <sz val="11"/>
        <color theme="1"/>
        <rFont val="Calibri"/>
        <family val="2"/>
        <charset val="238"/>
        <scheme val="minor"/>
      </rPr>
      <t xml:space="preserve">: Zorganizowanie konferencji dla LGD: 72 - uczestników, Uroczyste wręczenie umów LGD na realizację LSR: 71 - uczestników , Szkolenia dla LGD 6 szkoleń -z list obecności, Szkolenia dla potencjalnych beneficjentów PROW, Forum Wójtów,Burmistrzów i Prezydentów Małopolski, Uroczyste rozdanie umów podpisanych na działanie "Budowa lub modernizacja dróg lokalnych", Udział w targach Regionalia w Warszawie - liczba odwiedzających targi około 200 000 odwiedzających, Rozwój i promocja szlaku kulinarnego "Małopolska Trasa dla Smakoszy", Doskonalenie zawodowe kadr turystyki wiejskiej w Małopolsce- cykl 4 szkoleń -154 uczestników zgodnie z listami obecności, Wyjazdy studyjne dotyczące promocji produków regionalnych i tradycyjnych - 54 uczestników,  cykl szkoleń dotyczących sprzedaży bezpośredniej -367 osób. </t>
    </r>
    <r>
      <rPr>
        <b/>
        <u/>
        <sz val="11"/>
        <color theme="1"/>
        <rFont val="Calibri"/>
        <family val="2"/>
        <charset val="238"/>
        <scheme val="minor"/>
      </rPr>
      <t xml:space="preserve">Rok 2017: </t>
    </r>
    <r>
      <rPr>
        <sz val="11"/>
        <color theme="1"/>
        <rFont val="Calibri"/>
        <family val="2"/>
        <charset val="238"/>
        <scheme val="minor"/>
      </rPr>
      <t>Wydarzenia międzynarodowe: Udział w Targach Grune Woche w Berlinie: około 400 000,00 - odwiedzających. Wydarzenia lokalne/regionalne:  3 spotkania - Uroczyste wręcznie umów wod-kan (Kraków, Tarnów, Nowy Sącz), Projekty partnerów KSOW dwie imprezy plenerowe,</t>
    </r>
  </si>
  <si>
    <r>
      <rPr>
        <b/>
        <u/>
        <sz val="11"/>
        <color theme="1"/>
        <rFont val="Calibri"/>
        <family val="2"/>
        <charset val="238"/>
        <scheme val="minor"/>
      </rPr>
      <t xml:space="preserve">2015 r.: </t>
    </r>
    <r>
      <rPr>
        <sz val="11"/>
        <color theme="1"/>
        <rFont val="Calibri"/>
        <family val="2"/>
        <charset val="238"/>
        <scheme val="minor"/>
      </rPr>
      <t xml:space="preserve">Wkładka Dożynkowa, </t>
    </r>
    <r>
      <rPr>
        <b/>
        <u/>
        <sz val="11"/>
        <color theme="1"/>
        <rFont val="Calibri"/>
        <family val="2"/>
        <charset val="238"/>
        <scheme val="minor"/>
      </rPr>
      <t>2016 r.:</t>
    </r>
    <r>
      <rPr>
        <sz val="11"/>
        <color theme="1"/>
        <rFont val="Calibri"/>
        <family val="2"/>
        <charset val="238"/>
        <scheme val="minor"/>
      </rPr>
      <t xml:space="preserve"> , Wkładka Dożynkowa, Publikacja realizowana w ramach partnerskiego projektu "Wieś dla Smakoszy",</t>
    </r>
    <r>
      <rPr>
        <b/>
        <u/>
        <sz val="11"/>
        <color theme="1"/>
        <rFont val="Calibri"/>
        <family val="2"/>
        <charset val="238"/>
        <scheme val="minor"/>
      </rPr>
      <t>2017 r.:</t>
    </r>
    <r>
      <rPr>
        <sz val="11"/>
        <color theme="1"/>
        <rFont val="Calibri"/>
        <family val="2"/>
        <charset val="238"/>
        <scheme val="minor"/>
      </rPr>
      <t xml:space="preserve"> Wkładka Dożynkowa, publikacje partnerów zrealizowane w ramach operacji wybranych do realizacji po przeprowadzonym naborze 1/2017</t>
    </r>
  </si>
  <si>
    <r>
      <rPr>
        <b/>
        <u/>
        <sz val="11"/>
        <color theme="1"/>
        <rFont val="Calibri"/>
        <family val="2"/>
        <charset val="238"/>
        <scheme val="minor"/>
      </rPr>
      <t>2015 r.:</t>
    </r>
    <r>
      <rPr>
        <b/>
        <sz val="11"/>
        <color theme="1"/>
        <rFont val="Calibri"/>
        <family val="2"/>
        <charset val="238"/>
        <scheme val="minor"/>
      </rPr>
      <t xml:space="preserve">  </t>
    </r>
    <r>
      <rPr>
        <sz val="11"/>
        <color theme="1"/>
        <rFont val="Calibri"/>
        <family val="2"/>
        <charset val="238"/>
        <scheme val="minor"/>
      </rPr>
      <t xml:space="preserve"> Cykl reportaży TV "Odmieniona Mąlopolska" - promocja efektów wdrażania PROW 2007-2013, </t>
    </r>
    <r>
      <rPr>
        <b/>
        <sz val="11"/>
        <color theme="1"/>
        <rFont val="Calibri"/>
        <family val="2"/>
        <charset val="238"/>
        <scheme val="minor"/>
      </rPr>
      <t>2016 r.:</t>
    </r>
    <r>
      <rPr>
        <sz val="11"/>
        <color theme="1"/>
        <rFont val="Calibri"/>
        <family val="2"/>
        <charset val="238"/>
        <scheme val="minor"/>
      </rPr>
      <t xml:space="preserve"> Cykl reportaży promujących
PROW 2014-2020, Przygotowanie i emisja 4 audycji TV promujących ideę Sieci Dziedzictwa Kulinarnego Małopolska,  audycje promujące szlak "Wieś dla Smakoszy". </t>
    </r>
    <r>
      <rPr>
        <b/>
        <u/>
        <sz val="11"/>
        <color theme="1"/>
        <rFont val="Calibri"/>
        <family val="2"/>
        <charset val="238"/>
        <scheme val="minor"/>
      </rPr>
      <t>2017 r.:</t>
    </r>
    <r>
      <rPr>
        <sz val="11"/>
        <color theme="1"/>
        <rFont val="Calibri"/>
        <family val="2"/>
        <charset val="238"/>
        <scheme val="minor"/>
      </rPr>
      <t xml:space="preserve"> Spot reklamowy w radiu - zrealizowany w ramach operacji partnera KSOW.</t>
    </r>
  </si>
  <si>
    <r>
      <t xml:space="preserve">2015 r.: </t>
    </r>
    <r>
      <rPr>
        <sz val="11"/>
        <color theme="1"/>
        <rFont val="Calibri"/>
        <family val="2"/>
        <charset val="238"/>
        <scheme val="minor"/>
      </rPr>
      <t xml:space="preserve">Małopolska Grupa Robocza odbyła jedno spotkanie i 1 opiniowanie w trybie obiegowycm, </t>
    </r>
    <r>
      <rPr>
        <b/>
        <u/>
        <sz val="11"/>
        <color theme="1"/>
        <rFont val="Calibri"/>
        <family val="2"/>
        <charset val="238"/>
        <scheme val="minor"/>
      </rPr>
      <t xml:space="preserve">2016 r.: </t>
    </r>
    <r>
      <rPr>
        <sz val="11"/>
        <color theme="1"/>
        <rFont val="Calibri"/>
        <family val="2"/>
        <charset val="238"/>
        <scheme val="minor"/>
      </rPr>
      <t>Małopolska Grupa Robocza ds. KSOW, Grupa opiniowała dokumenty obiegowo, 6 - obiegów dokumentów oraz jedno posiedzenie w siedzibie Urzędu Marszałkowskiego Województwa Małopolskiego.</t>
    </r>
    <r>
      <rPr>
        <sz val="11"/>
        <color theme="1"/>
        <rFont val="Calibri"/>
        <family val="2"/>
        <charset val="238"/>
        <scheme val="minor"/>
      </rPr>
      <t xml:space="preserve"> </t>
    </r>
    <r>
      <rPr>
        <b/>
        <u/>
        <sz val="11"/>
        <color theme="1"/>
        <rFont val="Calibri"/>
        <family val="2"/>
        <charset val="238"/>
        <scheme val="minor"/>
      </rPr>
      <t>2017 r.</t>
    </r>
    <r>
      <rPr>
        <b/>
        <i/>
        <u/>
        <sz val="11"/>
        <color theme="1"/>
        <rFont val="Calibri"/>
        <family val="2"/>
        <charset val="238"/>
        <scheme val="minor"/>
      </rPr>
      <t>:</t>
    </r>
    <r>
      <rPr>
        <sz val="11"/>
        <color theme="1"/>
        <rFont val="Calibri"/>
        <family val="2"/>
        <charset val="238"/>
        <scheme val="minor"/>
      </rPr>
      <t xml:space="preserve"> jedno posiedzenie Małopolskiej Grupy Roboczej oraz opiniowanie dokumentów w trybie obiegowym (4). Jedno posiedzenie GR przy Konwencie Marszałków.</t>
    </r>
  </si>
  <si>
    <r>
      <rPr>
        <b/>
        <sz val="11"/>
        <color theme="1"/>
        <rFont val="Calibri"/>
        <family val="2"/>
        <charset val="238"/>
        <scheme val="minor"/>
      </rPr>
      <t>2015 r. :</t>
    </r>
    <r>
      <rPr>
        <sz val="11"/>
        <color theme="1"/>
        <rFont val="Calibri"/>
        <family val="2"/>
        <charset val="238"/>
        <scheme val="minor"/>
      </rPr>
      <t xml:space="preserve"> 14 człkonków Małopolskiej Grupy Roboczej obradowało, </t>
    </r>
    <r>
      <rPr>
        <b/>
        <sz val="11"/>
        <color theme="1"/>
        <rFont val="Calibri"/>
        <family val="2"/>
        <charset val="238"/>
        <scheme val="minor"/>
      </rPr>
      <t>2016 r.:</t>
    </r>
    <r>
      <rPr>
        <sz val="11"/>
        <color theme="1"/>
        <rFont val="Calibri"/>
        <family val="2"/>
        <charset val="238"/>
        <scheme val="minor"/>
      </rPr>
      <t xml:space="preserve"> Liczba członków Małopolskiej Grupy Roboczej ds. KSOW, w obiegowym opiniowaniu dokumentów brało udział 72 członków 
(6 obiegów i 1 posiedzenie).</t>
    </r>
    <r>
      <rPr>
        <b/>
        <sz val="11"/>
        <color theme="1"/>
        <rFont val="Calibri"/>
        <family val="2"/>
        <charset val="238"/>
        <scheme val="minor"/>
      </rPr>
      <t>2017 r.:</t>
    </r>
    <r>
      <rPr>
        <sz val="11"/>
        <color theme="1"/>
        <rFont val="Calibri"/>
        <family val="2"/>
        <charset val="238"/>
        <scheme val="minor"/>
      </rPr>
      <t xml:space="preserve"> W posiedzeniu i czterech obiegach brało łącznie udział 60 osób, w posiedzeniu GR przy Konwencie Marszałków: 73 osoby</t>
    </r>
  </si>
  <si>
    <r>
      <rPr>
        <b/>
        <u/>
        <sz val="8"/>
        <color theme="1"/>
        <rFont val="Calibri"/>
        <family val="2"/>
        <charset val="238"/>
        <scheme val="minor"/>
      </rPr>
      <t>2015 r.</t>
    </r>
    <r>
      <rPr>
        <b/>
        <sz val="8"/>
        <color theme="1"/>
        <rFont val="Calibri"/>
        <family val="2"/>
        <charset val="238"/>
        <scheme val="minor"/>
      </rPr>
      <t xml:space="preserve">: </t>
    </r>
    <r>
      <rPr>
        <sz val="8"/>
        <color theme="1"/>
        <rFont val="Calibri"/>
        <family val="2"/>
        <scheme val="minor"/>
      </rPr>
      <t>Szkolenie dla instytucji wdrażającej PROW 21.12.2015 r., Dwa szkolenia dla LGD ,</t>
    </r>
    <r>
      <rPr>
        <b/>
        <sz val="8"/>
        <color theme="1"/>
        <rFont val="Calibri"/>
        <family val="2"/>
        <charset val="238"/>
        <scheme val="minor"/>
      </rPr>
      <t xml:space="preserve"> </t>
    </r>
    <r>
      <rPr>
        <b/>
        <u/>
        <sz val="8"/>
        <color theme="1"/>
        <rFont val="Calibri"/>
        <family val="2"/>
        <charset val="238"/>
        <scheme val="minor"/>
      </rPr>
      <t>2016 r</t>
    </r>
    <r>
      <rPr>
        <b/>
        <sz val="8"/>
        <color theme="1"/>
        <rFont val="Calibri"/>
        <family val="2"/>
        <charset val="238"/>
        <scheme val="minor"/>
      </rPr>
      <t>.</t>
    </r>
    <r>
      <rPr>
        <sz val="8"/>
        <color theme="1"/>
        <rFont val="Calibri"/>
        <family val="2"/>
        <scheme val="minor"/>
      </rPr>
      <t xml:space="preserve">: Szkolenia dla potencjalnych beneficjentów działania "Podstawowe usługi i odnowa miejscowości na obszarach wiejskich" PROW na lata 2014-2020 w zakresie budowy lub modernizacji dróg lokalnych,  Szkolenia dla potencjalnych beneficjentów poddziałania „Wsparcie na inwestycje związane z rozwojem, modernizacją i dostosowaniem rolnictwa i leśnictwa” PROW na lata 2014-2020, Szkolenie dla osób chcących prowadzić punkty „Wieś dla smakoszy” oraz osób współpracujących,szkolenia dotyczące sprzedaży bezpośredniej, szkolenia dotyczące doskonalenia kadry turystyki wiejskiej, wyjazdy studyjne dotyczące produktów regionalnych i tradycyjnych, szkolenia dla LGD. </t>
    </r>
    <r>
      <rPr>
        <b/>
        <u/>
        <sz val="8"/>
        <color theme="1"/>
        <rFont val="Calibri"/>
        <family val="2"/>
        <charset val="238"/>
        <scheme val="minor"/>
      </rPr>
      <t>2017 r:</t>
    </r>
    <r>
      <rPr>
        <sz val="8"/>
        <color theme="1"/>
        <rFont val="Calibri"/>
        <family val="2"/>
        <scheme val="minor"/>
      </rPr>
      <t xml:space="preserve"> 9  szkoleń dla potencjalnych beneficjentów PROW 2014-2020, partnerów KSOW, 23 szkolenia dla LGD. Wykonanie roll-upów z wizualizacją PROW 2014-2020. Projekty partnerów KSOW: dwa wyjazdy studyjne, 6 projektów polegających na prezprowadzeniu szkoleń oraz warsztatów i konferencji, łącznie 32 szkolenia/wartaty/wyjazdy studyjne/konferencje.</t>
    </r>
  </si>
  <si>
    <r>
      <rPr>
        <b/>
        <sz val="11"/>
        <color theme="1"/>
        <rFont val="Calibri"/>
        <family val="2"/>
        <charset val="238"/>
        <scheme val="minor"/>
      </rPr>
      <t>2015 r:</t>
    </r>
    <r>
      <rPr>
        <sz val="11"/>
        <color theme="1"/>
        <rFont val="Calibri"/>
        <family val="2"/>
        <charset val="238"/>
        <scheme val="minor"/>
      </rPr>
      <t xml:space="preserve"> Przedstawiciele instytucji wdrażającej, Przedstawiciele Urzędów Gmin i Powiatów, , Lokalne Grupy Działania, potencjalni beneficjenci PROW 2014-2020, </t>
    </r>
    <r>
      <rPr>
        <b/>
        <sz val="11"/>
        <color theme="1"/>
        <rFont val="Calibri"/>
        <family val="2"/>
        <charset val="238"/>
        <scheme val="minor"/>
      </rPr>
      <t xml:space="preserve">2016 r.: </t>
    </r>
    <r>
      <rPr>
        <sz val="11"/>
        <color theme="1"/>
        <rFont val="Calibri"/>
        <family val="2"/>
        <charset val="238"/>
        <scheme val="minor"/>
      </rPr>
      <t xml:space="preserve">Przedstawiciele Urzędów Gmin i Powiatów, Osoby chcące prowadzić punkty „Wieś dla smakoszy”, rolnicy, właściciele gospodarstw agoturystycznych i ekologicznych, producenci. Lokalne Grupy Działania, potencjalni beneficjenci PROW 2014-2020. </t>
    </r>
    <r>
      <rPr>
        <b/>
        <sz val="11"/>
        <color theme="1"/>
        <rFont val="Calibri"/>
        <family val="2"/>
        <charset val="238"/>
        <scheme val="minor"/>
      </rPr>
      <t xml:space="preserve">2017 r: </t>
    </r>
    <r>
      <rPr>
        <sz val="11"/>
        <color theme="1"/>
        <rFont val="Calibri"/>
        <family val="2"/>
        <charset val="238"/>
        <scheme val="minor"/>
      </rPr>
      <t>potencjalni beneficjenci PROW 2014-2020, przedstawiciele gmin, LGD, partnerzy KSOW.</t>
    </r>
  </si>
  <si>
    <t>Koszty funkcjonowania: wynagrodzenia, delegacje, szkolenia pracowników, czynsz, koszty sprzątania, abonament telefoniczny</t>
  </si>
  <si>
    <t>[jednostka regionalna województwo mazowieckie]</t>
  </si>
  <si>
    <r>
      <rPr>
        <b/>
        <sz val="10"/>
        <color indexed="8"/>
        <rFont val="Calibri"/>
        <family val="2"/>
        <charset val="238"/>
      </rPr>
      <t>2015: Wydarzenia o zasięgu międzynarodowym</t>
    </r>
    <r>
      <rPr>
        <sz val="10"/>
        <color indexed="8"/>
        <rFont val="Calibri"/>
        <family val="2"/>
        <charset val="238"/>
      </rPr>
      <t xml:space="preserve">: dwie wizyty studyjne do Słowenii i Wielkiej Brytanii, </t>
    </r>
    <r>
      <rPr>
        <b/>
        <sz val="10"/>
        <color indexed="8"/>
        <rFont val="Calibri"/>
        <family val="2"/>
        <charset val="238"/>
      </rPr>
      <t>wydarzenia o zasięgu krajowym:</t>
    </r>
    <r>
      <rPr>
        <sz val="10"/>
        <color indexed="8"/>
        <rFont val="Calibri"/>
        <family val="2"/>
        <charset val="238"/>
      </rPr>
      <t xml:space="preserve"> Targi smaki Regionów w Poznaniu, Dożynki Prezydenckie w Spale, Wizyta Studyjna „Innowacyjne sposoby zagospodarowania i przetwarzania owoców, szansą na podniesienie konkurencyjności gospodarstwa rolnego” oraz ,,Gospodarstwa Opiekuńcze - jako alternatywna ścieżka rozwoju gospodarstw'' </t>
    </r>
    <r>
      <rPr>
        <b/>
        <sz val="10"/>
        <color indexed="8"/>
        <rFont val="Calibri"/>
        <family val="2"/>
        <charset val="238"/>
      </rPr>
      <t>2016</t>
    </r>
    <r>
      <rPr>
        <sz val="10"/>
        <color indexed="8"/>
        <rFont val="Calibri"/>
        <family val="2"/>
        <charset val="238"/>
      </rPr>
      <t xml:space="preserve"> </t>
    </r>
    <r>
      <rPr>
        <b/>
        <sz val="10"/>
        <color indexed="8"/>
        <rFont val="Calibri"/>
        <family val="2"/>
        <charset val="238"/>
      </rPr>
      <t>wydarzenia o zasięgu międzynarodowym:</t>
    </r>
    <r>
      <rPr>
        <sz val="10"/>
        <color indexed="8"/>
        <rFont val="Calibri"/>
        <family val="2"/>
        <charset val="238"/>
      </rPr>
      <t xml:space="preserve"> wykazano udział w targach Fruit Logistica - realizowany w ramach PO 2014-2015 - jednak targi odbyły się w 2016 (sfinansowanie powierzchni miało miejsce w 2015 roku);  VIII Międzynarodowe Targi Turystyki Wiejskiej i Agroturystyki Agrotravel - 2016;  KONGRES MŁODYCH ROLNIKÓW;  Międzynarodowe Targi Owoców i Warzyw Fruit Logistica 2016, Doroczne Forum Europejskiej Sieci Dziedzictwa,  wizyty studyjne do Hiszpanii, Norwegii i Francji, </t>
    </r>
    <r>
      <rPr>
        <b/>
        <sz val="10"/>
        <color indexed="8"/>
        <rFont val="Calibri"/>
        <family val="2"/>
        <charset val="238"/>
      </rPr>
      <t>wydarzenia o zasięgu krajowym</t>
    </r>
    <r>
      <rPr>
        <sz val="10"/>
        <color indexed="8"/>
        <rFont val="Calibri"/>
        <family val="2"/>
        <charset val="238"/>
      </rPr>
      <t xml:space="preserve">: Toruński Festiwal Smaku i Targi Wypoczynek; Targi Produktów Regionalnych i Ekologicznych REGIONALIA; Dzień Ziemi - 2016, Dożynki Prezydenckie w Spale, Targi Smaki Regionów w Poznaniu, XIV Warszawskie Święto Chleba, Dożynki Województwa Mazowieckiego, XVII Mazowieckie Dni Rolnictwa, Szkolenie pn. „Inkubator kuchenny i lokalne formy sprzedaży produktów lokalnych szansą na rozwój przedsiębiorczości wiejskiej”;  „Konie, łosie, kajaki i czosnowskie przysmaki”, wizyta studyjna "Realizacja Programów Aktywności Lokalnej w praktyce" oraz Poznajemy zwyczaje Podhala – wyjazd studyjny dla Kół Gospodyń Wiejskich z Gminy Krasnosielc </t>
    </r>
    <r>
      <rPr>
        <b/>
        <sz val="10"/>
        <color indexed="8"/>
        <rFont val="Calibri"/>
        <family val="2"/>
        <charset val="238"/>
      </rPr>
      <t>2017</t>
    </r>
    <r>
      <rPr>
        <sz val="10"/>
        <color indexed="8"/>
        <rFont val="Calibri"/>
        <family val="2"/>
        <charset val="238"/>
      </rPr>
      <t xml:space="preserve"> </t>
    </r>
    <r>
      <rPr>
        <b/>
        <sz val="10"/>
        <color indexed="8"/>
        <rFont val="Calibri"/>
        <family val="2"/>
        <charset val="238"/>
      </rPr>
      <t>Wydarzenia o zasięgu miedzynarodowym:</t>
    </r>
    <r>
      <rPr>
        <sz val="10"/>
        <color indexed="8"/>
        <rFont val="Calibri"/>
        <family val="2"/>
        <charset val="238"/>
      </rPr>
      <t xml:space="preserve"> IX Międzynarodowe Targi Turystyki Wiejskiej i Agroturystyki Agrotravel - 2017,  Międzynarodowe Targi Owoców i Warzyw Fruit Logistica 2017, operacja Innowacyjny hodowca, </t>
    </r>
    <r>
      <rPr>
        <b/>
        <sz val="10"/>
        <color indexed="8"/>
        <rFont val="Calibri"/>
        <family val="2"/>
        <charset val="238"/>
      </rPr>
      <t>wydarzenia o zasięgu krajowym</t>
    </r>
    <r>
      <rPr>
        <sz val="10"/>
        <color indexed="8"/>
        <rFont val="Calibri"/>
        <family val="2"/>
        <charset val="238"/>
      </rPr>
      <t xml:space="preserve"> - Dzień Ziemi - 2017, Targi Smaki Regionów w Poznaniu,  Centralne Targi Rolnicze w Nadarzynie, Dożynki  Prezydenckie w Spale 2017, XV Warszawskie Święto Chleba, Dożynki Województwa Mazowieckiego, Innowacyjna wieś - dobre praktyki przedsiębiorczości na obszarach wiejskich, Rozwój przedsiębiorczości z wykorzystaniem alternatywnych form działalności pozarolniczej, w ramach operacji Rozwój przedsiębiorczości z wykorzystaniem alternatywnych form działalności pozarolniczej partner KSOW uczestniczył w 5 imprezach plenerowych </t>
    </r>
  </si>
  <si>
    <r>
      <rPr>
        <b/>
        <sz val="10"/>
        <color indexed="8"/>
        <rFont val="Calibri"/>
        <family val="2"/>
        <charset val="238"/>
      </rPr>
      <t>2015: Wydarzenia o zasięgu międzynarodowym</t>
    </r>
    <r>
      <rPr>
        <sz val="10"/>
        <color indexed="8"/>
        <rFont val="Calibri"/>
        <family val="2"/>
        <charset val="238"/>
      </rPr>
      <t xml:space="preserve">: dwie wizyty studyjne do Słowenii i Wielkiej Brytanii (28 osób), </t>
    </r>
    <r>
      <rPr>
        <b/>
        <sz val="10"/>
        <color indexed="8"/>
        <rFont val="Calibri"/>
        <family val="2"/>
        <charset val="238"/>
      </rPr>
      <t>wydarzenia o zasięgu krajowym</t>
    </r>
    <r>
      <rPr>
        <sz val="10"/>
        <color indexed="8"/>
        <rFont val="Calibri"/>
        <family val="2"/>
        <charset val="238"/>
      </rPr>
      <t>: Targi smaki Regionów w Poznaniu (20 tys. osób), Dożynki Prezydenckie w Spale (40 tys. osób), wizyta studyjna „Innowacyjne sposoby zagospodarowania i przetwarzania owoców, szansą na podniesienie konkurencyjności gospodarstwa rolnego” (50 osób) oraz wizyta studyjna ,,Gospodarstwa Opiekuńcze - jako alternatywna ścieżka rozwoju gospodarstw''(40 osób).</t>
    </r>
    <r>
      <rPr>
        <b/>
        <sz val="10"/>
        <color indexed="8"/>
        <rFont val="Calibri"/>
        <family val="2"/>
        <charset val="238"/>
      </rPr>
      <t xml:space="preserve"> 2016: Wydarzenia o zasięgu międzynarodowym</t>
    </r>
    <r>
      <rPr>
        <sz val="10"/>
        <color indexed="8"/>
        <rFont val="Calibri"/>
        <family val="2"/>
        <charset val="238"/>
      </rPr>
      <t xml:space="preserve">: VIII Międzynarodowe Targi Turystyki Wiejskiej i Agroturystyki Agrotravel -2016 (20 tys. osób); KONGRES MŁODYCH ROLNIKÓW organizowany przez EUROPEA POLSKA (301 osób); Międzynarodowe Targi Owoców i Warzyw Fruit Logistica 20160 (70 tys. osób), Doroczne Forum Europejskiej Sieci Dziedzictwa (78 osób), wizyty studyjne do Hiszpanii i Norwegii (razem 25 osób) i Francji (20 osób), </t>
    </r>
    <r>
      <rPr>
        <b/>
        <sz val="10"/>
        <color indexed="8"/>
        <rFont val="Calibri"/>
        <family val="2"/>
        <charset val="238"/>
      </rPr>
      <t>wydarzenia o zasięgu krajowym:</t>
    </r>
    <r>
      <rPr>
        <sz val="10"/>
        <color indexed="8"/>
        <rFont val="Calibri"/>
        <family val="2"/>
        <charset val="238"/>
      </rPr>
      <t xml:space="preserve"> Toruński Festiwal Smaku i Targi Wypoczynek (5 tys. osób); Targi Produktów Regionalnych i Ekologicznych REGIONALIA  (6,5 tys. osób) ; Dzień Ziemi - 2016 (30 tys. osób), Dożynki Prezydenckie w Spale (40 tys. osób), Targi Smaki Regionów w Poznaniu (20 tys. osób), XIV Warszawskie Święto Chleba (2 tys. osób), Dożynki Województwa Mazowieckiego (20 tys. osób); szkolenie podczas XVII Mazowieckie Dni Rolnictwa (100 osób), Szkolenie pn. „Inkubator kuchenny i lokalne formy sprzedaży produktów lokalnych szansą na rozwój przedsiębiorczości wiejskiej” (32 osoby);  „Konie, łosie, kajaki i czosnowskie przysmaki” (50 osób), wizyta studyjna "Realizacja Programów Aktywności Lokalnej w praktyce" (16 osób) oraz Poznajemy zwyczaje Podhala – wyjazd studyjny dla Kół Gospodyń Wiejskich z Gminy Krasnosielc (50 osób).</t>
    </r>
    <r>
      <rPr>
        <b/>
        <sz val="10"/>
        <color indexed="8"/>
        <rFont val="Calibri"/>
        <family val="2"/>
        <charset val="238"/>
      </rPr>
      <t>2017: Wydarzenia o zasięgu międzynarodowym:</t>
    </r>
    <r>
      <rPr>
        <sz val="10"/>
        <color indexed="8"/>
        <rFont val="Calibri"/>
        <family val="2"/>
        <charset val="238"/>
      </rPr>
      <t xml:space="preserve"> IX Międzynarodowe Targi Turystyki Wiejskiej i Agroturystyki Agrotravel -2017 (20 tys. osób), Międzynarodowe Targi Owoców i Warzyw Fruit Logistica 2017 (70 tys. osób), operacja Innowacyjny hodowca (621 osób) </t>
    </r>
    <r>
      <rPr>
        <b/>
        <sz val="10"/>
        <color indexed="8"/>
        <rFont val="Calibri"/>
        <family val="2"/>
        <charset val="238"/>
      </rPr>
      <t>Wydarzenia o zasięgu krajowym</t>
    </r>
    <r>
      <rPr>
        <sz val="10"/>
        <color indexed="8"/>
        <rFont val="Calibri"/>
        <family val="2"/>
        <charset val="238"/>
      </rPr>
      <t xml:space="preserve"> - Dzień Ziemi 2017 (30 tys. osób), Targi Smaki Regionów w Poznaniu (20 tys. osób), Centralne Targi Rolnicze w Nadarzynie (40. tys. osób), Dożynki  Prezydenckie w Spale 2017 (40 tys. osób), XV Warszawskie Święto Chleba (5 tys. osób); Dożynki Województwa Mazowieckiego (20 tys. osób), Innowacyjna wieś - dobre praktyki przedsiębiorczości na obszarach wiejskich (75 osób), Rozwój przedsiębiorczości z wykorzystaniem alternatywnych form działalności pozarolniczej (w szkoleniu wzięło udziały udział 33 osoby), w ramach operacji Rozwój przedsiębiorczości z wykorzystaniem alternatywnych form działalności pozarolniczej partner KSOW uczestniczył w 5 imprezach plenerowych (10tys osób uczestniczyło ogółem w tych 5 imprezach).</t>
    </r>
  </si>
  <si>
    <r>
      <rPr>
        <b/>
        <sz val="10"/>
        <color theme="1"/>
        <rFont val="Calibri"/>
        <family val="2"/>
        <charset val="238"/>
        <scheme val="minor"/>
      </rPr>
      <t xml:space="preserve">2015 r. </t>
    </r>
    <r>
      <rPr>
        <sz val="10"/>
        <rFont val="Calibri"/>
        <family val="2"/>
        <charset val="238"/>
        <scheme val="minor"/>
      </rPr>
      <t>10 publikacji (dotyczy newslettera i stron w Kronice Mazowieckiej) realizowało mieszane zakresy tematyczne</t>
    </r>
    <r>
      <rPr>
        <b/>
        <sz val="10"/>
        <rFont val="Calibri"/>
        <family val="2"/>
        <charset val="238"/>
        <scheme val="minor"/>
      </rPr>
      <t xml:space="preserve">  </t>
    </r>
    <r>
      <rPr>
        <sz val="10"/>
        <rFont val="Calibri"/>
        <family val="2"/>
        <charset val="238"/>
        <scheme val="minor"/>
      </rPr>
      <t>(nie poruszano jedynie P1</t>
    </r>
    <r>
      <rPr>
        <b/>
        <sz val="10"/>
        <rFont val="Calibri"/>
        <family val="2"/>
        <charset val="238"/>
        <scheme val="minor"/>
      </rPr>
      <t xml:space="preserve">) </t>
    </r>
    <r>
      <rPr>
        <b/>
        <sz val="10"/>
        <color theme="1"/>
        <rFont val="Calibri"/>
        <family val="2"/>
        <charset val="238"/>
        <scheme val="minor"/>
      </rPr>
      <t>2016 r</t>
    </r>
    <r>
      <rPr>
        <sz val="10"/>
        <color theme="1"/>
        <rFont val="Calibri"/>
        <family val="2"/>
        <charset val="238"/>
        <scheme val="minor"/>
      </rPr>
      <t>: Dwie publikacje realizowały mieszane zakresy tematyczne w zakresie priorytetu II -Zwiększenie rentowności gospodarstw i konkurencyjność i priorytetu V - Promowanie  efektywnego gospodarowania zasobami i wspieranie przechodzenia w sektorach rolnym, spożywczym i leśnym na gospodarkę niskoemisyjną i odporną na zmianę klimatu; newsletter, strony w Kronice Mazowieckiej, 2 dodatki tematyczne w tygodnikach regionalnych realizowały mieszane zakresy tematyczne (nie poruszano jedynie P1).</t>
    </r>
    <r>
      <rPr>
        <b/>
        <sz val="10"/>
        <color theme="1"/>
        <rFont val="Calibri"/>
        <family val="2"/>
        <charset val="238"/>
        <scheme val="minor"/>
      </rPr>
      <t>2017 r</t>
    </r>
    <r>
      <rPr>
        <sz val="10"/>
        <color theme="1"/>
        <rFont val="Calibri"/>
        <family val="2"/>
        <charset val="238"/>
        <scheme val="minor"/>
      </rPr>
      <t xml:space="preserve">. wkładki tematyczne (4 wkładki po 4 strony - 16 stron), strony tematyczne w piśmie samorządu "Z serca Polski" oraz newsletter realizowały mieszane zakresy tematyczne (nie poruszano jedynie P1). Trzy publikacje (mapa i artykuł i broszura "Ewidencja przychodów i rozchodów w gospodarstwie" oraz 2 ulotki realizowały zakres tematyczny z naciskiem na włączenie społeczne. 1 ulotka realizowała zakres tematyczny z naciskiem na żywotność i konkurencyjność gospodarstw rolnych, łańcuch żywnościowy
</t>
    </r>
  </si>
  <si>
    <r>
      <rPr>
        <b/>
        <sz val="10"/>
        <color indexed="8"/>
        <rFont val="Calibri"/>
        <family val="2"/>
        <charset val="238"/>
      </rPr>
      <t>2016</t>
    </r>
    <r>
      <rPr>
        <sz val="10"/>
        <color indexed="8"/>
        <rFont val="Calibri"/>
        <family val="2"/>
        <charset val="238"/>
      </rPr>
      <t xml:space="preserve">: mieszane: dotyczy Kampanii Wieści z Mazowsza </t>
    </r>
    <r>
      <rPr>
        <b/>
        <sz val="10"/>
        <color indexed="8"/>
        <rFont val="Calibri"/>
        <family val="2"/>
        <charset val="238"/>
      </rPr>
      <t>2017</t>
    </r>
    <r>
      <rPr>
        <sz val="10"/>
        <color indexed="8"/>
        <rFont val="Calibri"/>
        <family val="2"/>
        <charset val="238"/>
      </rPr>
      <t xml:space="preserve">: Przeprowadzono 13 konkursów z łączną liczbą kategorii konkursowych 16. Inne narzędzia komunikacji Spotkania w punktach informacyjnych - zakres merytoryczny przekazywanych informacji: PROW 2014-2020 na Mazowszu; w IV kwartale 2017 roku przeprowadziliśmy akcję informacyjno-promocyjną, podczas której w punkcie informacyjnym podczas bezpośrednich konsultacji osoby odwiedzające otrzymały m.in: kalendarze na 2018 rok (1095 szt.). W IV kwartale 2017 r. przeprowadzono Kompleksowy projekt Pociągiem do natury - koleją do kultury, który składał się z kalendarzy (500 szt.), spotu reklamowego i 2 artykułów w prasie </t>
    </r>
  </si>
  <si>
    <t>2015, 2016  i 2017 Dotyczy Wojewódzkiej Grupy Roboczej. W 2015 r. spotkanie stacjonarne dotyczyło zaopiniowania Planu Operacyjnego na lata 2014-2015. W 2016 r. odbyło się jedno spotkanie stacjonarne i sześć obiegowych.W 2017 r odbyły się trzy spotkania stacjonarne WGR i 2 obiegowe.</t>
  </si>
  <si>
    <t>2015, 2016 oraz 2017 r. dotyczy udziału członków Wojewódzkiej Grupy Roboczej w spotkaniach stacjonarnych i obiegowych. W 2016 r odbyło się jedno spotkanie stacjonarne (9 osób) oraz 6 obiegowych (47 osób). W 2017 r odbyły się trzy spotkania stacjonarne z czego w pierwszym uczestniczyło 9 osób, w drugim 7, a w trzecim 8 osób. W swóch spotkaniach obiegowych uczestniczyło: w pierwszym 10, a w drugim 8</t>
  </si>
  <si>
    <r>
      <rPr>
        <b/>
        <sz val="10"/>
        <color theme="1"/>
        <rFont val="Calibri"/>
        <family val="2"/>
        <charset val="238"/>
        <scheme val="minor"/>
      </rPr>
      <t>2015 r.</t>
    </r>
    <r>
      <rPr>
        <sz val="10"/>
        <color theme="1"/>
        <rFont val="Calibri"/>
        <family val="2"/>
        <scheme val="minor"/>
      </rPr>
      <t xml:space="preserve"> Rodzaj działania szkoleniowego inne: 2 seminaria dot. Przedsiębiorczości kobiet </t>
    </r>
    <r>
      <rPr>
        <b/>
        <sz val="10"/>
        <color theme="1"/>
        <rFont val="Calibri"/>
        <family val="2"/>
        <charset val="238"/>
        <scheme val="minor"/>
      </rPr>
      <t>2016 r</t>
    </r>
    <r>
      <rPr>
        <sz val="10"/>
        <color theme="1"/>
        <rFont val="Calibri"/>
        <family val="2"/>
        <charset val="238"/>
        <scheme val="minor"/>
      </rPr>
      <t xml:space="preserve">: Rodzaj działania szkoleniowego inne: X Mazowiecki Kongres Rozwoju Obszarów Wiejskich był połączeniem konferencji z wizytą studyjną. Zakres tematyczny - tematy mieszane dot. XVII Mazowieckich Dni Rolnictwa (P2,P5) </t>
    </r>
    <r>
      <rPr>
        <b/>
        <sz val="10"/>
        <color theme="1"/>
        <rFont val="Calibri"/>
        <family val="2"/>
        <charset val="238"/>
        <scheme val="minor"/>
      </rPr>
      <t xml:space="preserve">2017: </t>
    </r>
    <r>
      <rPr>
        <sz val="10"/>
        <color theme="1"/>
        <rFont val="Calibri"/>
        <family val="2"/>
        <charset val="238"/>
        <scheme val="minor"/>
      </rPr>
      <t xml:space="preserve">Rodzaj działania szkoleniowego inne: XI Mazowiecki Kongres Rozwoju Obszarów Wiejskich był połączeniem konferencji z wizytą studyjną oraz Innowacyjna wieś - dobre praktyki przedsiębiorczości na obszarach wiejskich - 3 szkolenia połączone z wizytą studyjną; tematy mieszane włączenie społeczne/Leader: XI Mazowiecki Kongres Rozwoju Obszarów Wiejskich oraz Wizyta studyjna promująca dobre praktyki </t>
    </r>
  </si>
  <si>
    <r>
      <rPr>
        <b/>
        <sz val="10"/>
        <color indexed="8"/>
        <rFont val="Calibri"/>
        <family val="2"/>
        <charset val="238"/>
      </rPr>
      <t xml:space="preserve">2015 r. </t>
    </r>
    <r>
      <rPr>
        <sz val="10"/>
        <color indexed="8"/>
        <rFont val="Calibri"/>
        <family val="2"/>
        <charset val="238"/>
      </rPr>
      <t xml:space="preserve">Liczba uczestników innych działań szkoleniowych - dotyczy uczestników dwóch seminariów. Inne grupy interesariuszy: rolnicy, uczniowie szkół, pracownicy samorządowi, lokalni przetwórcy żywności, pracownicy spółdzielni socjalnych, przedsiębiorcy </t>
    </r>
    <r>
      <rPr>
        <b/>
        <sz val="10"/>
        <color indexed="8"/>
        <rFont val="Calibri"/>
        <family val="2"/>
        <charset val="238"/>
      </rPr>
      <t xml:space="preserve">2016 r. </t>
    </r>
    <r>
      <rPr>
        <sz val="10"/>
        <color indexed="8"/>
        <rFont val="Calibri"/>
        <family val="2"/>
        <charset val="238"/>
      </rPr>
      <t>Liczba uczestników innych działań szkoleniowych - dotyczy uczestników X Mazowieckiego Kongresu Rozwoju Obszarów Wiejskich (kongres połączony z wizytą studyjną). Inne grupy interesariuszy: rolnicy, uczniowie szkół, pracownicy samorządowi, lokalni przetwórcy żywności, pracownicy spółdzielni socjalnych, przedsiębiorcy , przedstawiciele branży turystycznej, przedstawiciele organizacji pozarządowych, przedstawicielki kół gospodyń wiejskich, mieszkańcy obszarów wiejskich, koła pszczelarskie</t>
    </r>
    <r>
      <rPr>
        <b/>
        <sz val="10"/>
        <color indexed="8"/>
        <rFont val="Calibri"/>
        <family val="2"/>
        <charset val="238"/>
      </rPr>
      <t xml:space="preserve"> 2017 r</t>
    </r>
    <r>
      <rPr>
        <sz val="10"/>
        <color indexed="8"/>
        <rFont val="Calibri"/>
        <family val="2"/>
        <charset val="238"/>
      </rPr>
      <t>. Inne grupy interesariuszy: pracownicy samorządowi, rolnicy, lokalni przetwórcy żywności, przedsiębiorcy, przedstawiciele KGW, właściciele gospodarstw agroturystycznych, pszczelarze, mieszkańcy obszarów wiejskich</t>
    </r>
  </si>
  <si>
    <t>Koszty funkcjonowania 2015 r. (II półrocze): wynagrodzenia dla pracowników KSOW, koszty szkoleń, sprzętu oraz najmu i eksploatacji pomieszczeń. Koszty funkcjonowania 2016 r.(od 1.01 do 31.12.2016): koszty wynagrodzeń dla pracowników KSOW, koszty szkoleń, sprzętu oraz  najmu i eksploatacji pomieszczeń KSOWKoszty funkcjonowania 2017 r. (od 1.01 do 31.12.2017):koszty wynagrodzeń dla pracowników KSOW, koszty szkoleń, najmu i eksploatacji pomieszczeń KSOW oraz zakupu sprzętu</t>
  </si>
  <si>
    <t>Jednostka Regionalna KSOW woj. opolskiego</t>
  </si>
  <si>
    <t xml:space="preserve"> </t>
  </si>
  <si>
    <r>
      <rPr>
        <b/>
        <sz val="10"/>
        <color indexed="8"/>
        <rFont val="Calibri"/>
        <family val="2"/>
        <charset val="238"/>
      </rPr>
      <t xml:space="preserve">2015:                                                                                                                                                                                                                                                                                                                                                  </t>
    </r>
    <r>
      <rPr>
        <sz val="10"/>
        <color indexed="8"/>
        <rFont val="Calibri"/>
        <family val="2"/>
        <charset val="238"/>
      </rPr>
      <t xml:space="preserve">            </t>
    </r>
    <r>
      <rPr>
        <b/>
        <sz val="10"/>
        <color indexed="8"/>
        <rFont val="Calibri"/>
        <family val="2"/>
        <charset val="238"/>
      </rPr>
      <t xml:space="preserve">                                                                                                                                                                                                                                                                                 Wydarzenia o zasięgu międzynarodowym:                                                                                                                                                                                                                                                                                                        </t>
    </r>
    <r>
      <rPr>
        <sz val="10"/>
        <color indexed="8"/>
        <rFont val="Calibri"/>
        <family val="2"/>
        <charset val="238"/>
      </rPr>
      <t xml:space="preserve">1. Międzynarodowe Targi Bazaar Berlin 2015                                                                                                                                                                                                                                                                                             2. Międzynarodowe Targi Tour Salon w Poznaniu                                                                                                                                                                                                                                                                                        3. Organizacja seminarium naukowego pt. "Problemy zarządzania kryzysowego w obliczu zmian zagospodarowania przestrzennego obszarów Wiejskich"                                                                                                                                                                                                                                                                                                                                                              </t>
    </r>
    <r>
      <rPr>
        <b/>
        <sz val="10"/>
        <color indexed="8"/>
        <rFont val="Calibri"/>
        <family val="2"/>
        <charset val="238"/>
      </rPr>
      <t xml:space="preserve">Zakres tematyczny - Inne:                                                                                                                                                                                                                                                                                                                                                                        </t>
    </r>
    <r>
      <rPr>
        <sz val="10"/>
        <color indexed="8"/>
        <rFont val="Calibri"/>
        <family val="2"/>
        <charset val="238"/>
      </rPr>
      <t xml:space="preserve">4 operacje z naciskiem na turystykę wiejską, agroturystykę, dziedzictwo kulturowe, w tym kulinarne; 1 operacja dotycząca budowy i modernizacji dróg lokalnych                                                                                                                                                                      </t>
    </r>
    <r>
      <rPr>
        <b/>
        <sz val="10"/>
        <color indexed="8"/>
        <rFont val="Calibri"/>
        <family val="2"/>
        <charset val="238"/>
      </rPr>
      <t xml:space="preserve">                                                                                                                                                                                                                                     2016:                                                                                                                                                                                                                                                                                                                                                  Wydarzenia o zasięgu krajowym</t>
    </r>
    <r>
      <rPr>
        <sz val="10"/>
        <color indexed="8"/>
        <rFont val="Calibri"/>
        <family val="2"/>
        <charset val="238"/>
      </rPr>
      <t xml:space="preserve">:                                                                                                                                                                                                                                                                                                                                1. XV Spotkanie organizacji działających na obszarach wiejskich w Marózie                                                                                                                                                                                                                                                               2. Konferencja poświęcona podejściu LEADER                                                                                                                                                                                                                                                                                                  3. Dożynki Prezydenckie w Spale                                                                                                                                                                                                                                                                                                                </t>
    </r>
    <r>
      <rPr>
        <b/>
        <sz val="10"/>
        <color indexed="8"/>
        <rFont val="Calibri"/>
        <family val="2"/>
        <charset val="238"/>
      </rPr>
      <t>Wydarzenia o zasięgu międzynarodowym</t>
    </r>
    <r>
      <rPr>
        <sz val="10"/>
        <color indexed="8"/>
        <rFont val="Calibri"/>
        <family val="2"/>
        <charset val="238"/>
      </rPr>
      <t xml:space="preserve">:                                                                                                                                                                                                                                                                                                       1. Międzynarodowe Targi Turystyczne ITB Berlin 2016                                                                                                                                                                                                                                                                            2. Wystawa Twórców Ludowych i Rzemiosła Artystycznego Pogranicza Polsko-Czeskiego w Prudniku                                                                                                                                 3. Targi Turystyki Weekendowej "Atrakcje Regionów" w Chorzowie                                                                                                                                                                                                                                                         4. Międzynarodowe Targi Turystyki Wiejskiej i Agroturystyki AGROTRAVEL w Kielcach - stoisko wystawiennicze                                                                                                     5. Międzynarodowe Targi Turystyki Wiejskiej i Agroturystyki AGROTRAVEL w Kielcach - udział w konferencji                                                                                                                                                6. Międzynarodowe Targi "Rheinland-Pfalz Ausstellung" w Moguncji                                                                                                                                                                                                                                              7. Święto Konstytucji Nadrenii-Palatynatu w Moguncji                                                                                                                                                                                                                                                                        8. Festyn Przyjaźni Polsko-Niemieckiej w Moguncji                                                                                                                                                                                                                                                                   9. Doroczne Forum Europejskiej Sieci Regionalnego Dziedzictwa Kulinarnego w Oslo                                                                                                                                                                                                      10. Finał konkursu o Europejską Nagrodę Odnowy Wsi - Węgry                                                                                                                                                                                                                                                    11. XVI Międzynarodowe Targi Turystyczne "W stronę słońca" w Opolu                                                                                                                                                                                                                    12. Wystawa Rolnicza OPOLAGRA 2016                                                                                                                                                                                                                                                                                                                             </t>
    </r>
    <r>
      <rPr>
        <b/>
        <sz val="10"/>
        <color indexed="8"/>
        <rFont val="Calibri"/>
        <family val="2"/>
        <charset val="238"/>
      </rPr>
      <t>Zakres tematyczny - Inne:</t>
    </r>
    <r>
      <rPr>
        <sz val="10"/>
        <color indexed="8"/>
        <rFont val="Calibri"/>
        <family val="2"/>
        <charset val="238"/>
      </rPr>
      <t xml:space="preserve">                                                                                                                                                                                                                                                                                                                                           1. Spotkania informacyjno-konsultacyjne dot. scalania gruntów, gospodarki wodno-kanalizacyjnej oraz spotkanie w sprawie podpisania umów na drogi lokalne                                                                                                                                                                                                                                                                                                                                                                                      </t>
    </r>
    <r>
      <rPr>
        <b/>
        <sz val="10"/>
        <color indexed="8"/>
        <rFont val="Calibri"/>
        <family val="2"/>
        <charset val="238"/>
      </rPr>
      <t xml:space="preserve">2017:                                                                                                                                                                                                                                                                                                                                                                                                                                                                                                                                                                                                                                                                 Wydarzenia o zasięgu międzynarodowym:            </t>
    </r>
    <r>
      <rPr>
        <sz val="10"/>
        <color indexed="8"/>
        <rFont val="Calibri"/>
        <family val="2"/>
        <charset val="238"/>
      </rPr>
      <t xml:space="preserve">                                                                                                                                                                                                                                                                                           1. Międzynarodowe Targi Turystyki Wiejskiej i Agroturystyki AGROTRAVEL w Kielcach - udział w bloku konferencjno-warsztatowym                                                                                                                                                2. Międzynarodowe Targi "Rheinland-Pfalz Ausstellung" w Moguncji                                                                                                                                                                                                                                              3. Dni Regionów Partnerskich w Dijon (Francja)                                                                                                                                                                                                                                                                       4. Wystawa Rolnicza OPOLAGRA 2017                                                                                                                                                                                                                                                                                                                     5. Doroczne Forum Europejskiej Sieci Regionalnego Dziedzictwa Kulinarnego                                                                                                                                                                                                          6. Dni Jedności Niemiec w Moguncji                                                                                                                                                                                                                                                                                                                7.  Targi Smaki Regionów w ramach Międzynarodowych Targów Polagra Food w Poznaniu                                                                                                                                                                               </t>
    </r>
    <r>
      <rPr>
        <b/>
        <sz val="10"/>
        <color indexed="8"/>
        <rFont val="Calibri"/>
        <family val="2"/>
        <charset val="238"/>
      </rPr>
      <t xml:space="preserve">Wydarzenia o zasięgu krajowym:     </t>
    </r>
    <r>
      <rPr>
        <sz val="10"/>
        <color indexed="8"/>
        <rFont val="Calibri"/>
        <family val="2"/>
        <charset val="238"/>
      </rPr>
      <t xml:space="preserve">                                                                                                                                                                                                                                                                                                                     1. Dożynki Prezydenckie w Spale                                                                                                                                                                                                                                                                                               </t>
    </r>
    <r>
      <rPr>
        <b/>
        <sz val="10"/>
        <color indexed="8"/>
        <rFont val="Calibri"/>
        <family val="2"/>
        <charset val="238"/>
      </rPr>
      <t xml:space="preserve">Zakres tematyczny - Inne:           </t>
    </r>
    <r>
      <rPr>
        <sz val="10"/>
        <color indexed="8"/>
        <rFont val="Calibri"/>
        <family val="2"/>
        <charset val="238"/>
      </rPr>
      <t xml:space="preserve">                                                                                                                                                                                                                                                                                                                                1. 2 spotkania informacyjno-konsultacyjne dot. scalania gruntów oraz omówienia dokumentów aplikacyjnych - targowiska</t>
    </r>
  </si>
  <si>
    <r>
      <rPr>
        <b/>
        <sz val="10"/>
        <color indexed="8"/>
        <rFont val="Calibri"/>
        <family val="2"/>
        <charset val="238"/>
      </rPr>
      <t xml:space="preserve">2015:                                                                                                                                                                                                                                                                                                                                                                                                                                                                                                                                                                                                                                               Wydarzenia o zasięgu międzynarodowym:                                                                                                                                                                                                                                                                                                        </t>
    </r>
    <r>
      <rPr>
        <sz val="10"/>
        <color indexed="8"/>
        <rFont val="Calibri"/>
        <family val="2"/>
        <charset val="238"/>
      </rPr>
      <t xml:space="preserve">1. Międzynarodowe Targi Bazaar Berlin 2015 -  40 000 osób                                                                                                                                                                                                                                                                                            2. Międzynarodowe Targi Tour Salon w Poznaniu - 11 000 osób                                                                                                                                                                                                                                                                                        3. Organizacja seminarium naukowego pt. "Problemy zarządzania kryzysowego w obliczu zmian zagospodarowania przestrzennego obszarów Wiejskich" -  51 osób                                                                                                                                                                                                                                                                                                                                                                                         </t>
    </r>
    <r>
      <rPr>
        <b/>
        <sz val="10"/>
        <color indexed="8"/>
        <rFont val="Calibri"/>
        <family val="2"/>
        <charset val="238"/>
      </rPr>
      <t>2016:                                                                                                                                                                                                                                                                                                                                                       Wydarzenia o zasięgu krajowym</t>
    </r>
    <r>
      <rPr>
        <sz val="10"/>
        <color indexed="8"/>
        <rFont val="Calibri"/>
        <family val="2"/>
        <charset val="238"/>
      </rPr>
      <t xml:space="preserve">:                                                                                                                                                                                                                                                                                                                                1. XV Spotkanie organizacji działających na obszarach wiejskich w Marózie - 500 osób                                                                                                                                                                                                                                                               2. Konferencja poświęcona podejściu LEADER - 350 osób                                                                                                                                                                                                                                                                                                  3. Dożynki Prezydenckie w Spale - 4 000 osób                                                                                                                                                                                                                                                                                                                </t>
    </r>
    <r>
      <rPr>
        <b/>
        <sz val="10"/>
        <color indexed="8"/>
        <rFont val="Calibri"/>
        <family val="2"/>
        <charset val="238"/>
      </rPr>
      <t>Wydarzenia o zasięgu międzynarodowym</t>
    </r>
    <r>
      <rPr>
        <sz val="10"/>
        <color indexed="8"/>
        <rFont val="Calibri"/>
        <family val="2"/>
        <charset val="238"/>
      </rPr>
      <t xml:space="preserve">:                                                                                                                                                                                                                                                                                                                 1. Międzynarodowe Targi Turystyczne ITB Berlin 2016 - 120 000 osób                                                                                                                                                                                                                            2. Wystawa Twórców Ludowych i Rzemiosła Artystycznego Pogranicza Polsko-Czeskiego w Prudniku - 10 000 osób                                                                                                                                 3. Targi Turystyki Weekendowej "Atrakcje Regionów" w Chorzowie - 25 000 osób                                                                                                                                                                                                                                                         4. Międzynarodowe Targi Turystyki Wiejskiej i Agroturystyki AGROTRAVEL w Kielcach - stoisko wystawiennicze - 20 000 osób                                                                                                     5. Międzynarodowe Targi Turystyki Wiejskiej i Agroturystyki AGROTRAVEL w Kielcach - udział w konferencji - 600 osób                                                                                                                                               6. Międzynarodowe Targi "Rheinland-Pfalz Ausstellung" w Moguncji - 70 000 osób                                                                                                                                                                                                                                              7. Święto Konstytucji Nadrenii-Palatynatu w Moguncji - 40 000 osób                                                                                                                                                                                                                                                                       8. Festyn Przyjaźni Polsko-Niemieckiej w Moguncji - 10 000 osób                                                                                                                                                                                                                                                                   9. Doroczne Forum Europejskiej Sieci Regionalnego Dziedzictwa Kulinarnego w Oslo - 400 osób                                                                                                                                                                                                      10. Finał konkursu o Europejską Nagrodę Odnowy Wsi - Węgry - 1 500 osób                                                                                                                                                                                                                                                    11. XVI Międzynarodowe Targi Turystyczne "W stronę słońca" w Opolu - 20 000 osób                                                                                                                                                                                                                    12. Wystawa Rolnicza OPOLAGRA 2016 - 48 000 osób                                                                                                                                                                                                                                                                            </t>
    </r>
    <r>
      <rPr>
        <b/>
        <sz val="10"/>
        <color indexed="8"/>
        <rFont val="Calibri"/>
        <family val="2"/>
        <charset val="238"/>
      </rPr>
      <t xml:space="preserve">2017:                                                                                                                                                                                                                                                                                                                                                                                                                                                                                                                                                                                                                                                                 Wydarzenia o zasięgu międzynarodowym:           </t>
    </r>
    <r>
      <rPr>
        <sz val="10"/>
        <color indexed="8"/>
        <rFont val="Calibri"/>
        <family val="2"/>
        <charset val="238"/>
      </rPr>
      <t xml:space="preserve">                                                                                                                                                                                                                                                                                            1. Międzynarodowe Targi Turystyki Wiejskiej i Agroturystyki AGROTRAVEL w Kielcach - udział w bloku konferencjno-warsztatowym  - 800 osób                                                                                                                                              2. Międzynarodowe Targi "Rheinland-Pfalz Ausstellung" w Moguncji  - 70 000 osób                                                                                                                                                                                                                                             3. Dni Regionów Partnerskich w Dijon (Francja)  - 5 000 osób                                                                                                                                                                                                                                                                      4. Wystawa Rolnicza OPOLAGRA 2017 - 45 000 osób                                                                                                                                                                                                                                                                   5. Doroczne Forum Europejskiej Sieci Regionalnego Dziedzictwa Kulinarnego - 55 osób                                                                                                                                                                                                         6. Dni Jedności Niemiec w Moguncji  - 30 000  - osób                                                                                                                                                                                                                                                                                                            7.  Targi Smaki Regionów w ramach Międzynarodowych Targów Polagra Food w Poznaniu - 35 000 osób                                                                                                                                                                              </t>
    </r>
    <r>
      <rPr>
        <b/>
        <sz val="10"/>
        <color indexed="8"/>
        <rFont val="Calibri"/>
        <family val="2"/>
        <charset val="238"/>
      </rPr>
      <t xml:space="preserve">Wydarzenia o zasięgu krajowym: </t>
    </r>
    <r>
      <rPr>
        <sz val="10"/>
        <color indexed="8"/>
        <rFont val="Calibri"/>
        <family val="2"/>
        <charset val="238"/>
      </rPr>
      <t xml:space="preserve">                                                                                                                                                                                                                                                                                                                         1. Dożynki Prezydenckie w Spale - 4 000 osób                                                                                                                                                                                                                                                                                                                                      </t>
    </r>
  </si>
  <si>
    <t>dotyczy strony www.ksow.pl - zakładka woj. opolskiego, statystyki zgodne z Google Analitics</t>
  </si>
  <si>
    <t>nie dotyczy</t>
  </si>
  <si>
    <t xml:space="preserve">2015-2017 - dotyczy 1 grupy tematycznej - WGR ds. KSOW woj. opolskiego. W 2015r. odbyło się 1 posiedzenie.  W 2016r. odbyły się 2 posiedzenia oraz Grupa pracowała w trybie obiegowym 7 razy. Natomiast w 2017r. nie odbyło się żadne posiedzenie WGR ds. KSOW. Grupa pracowała w trybie obiegowym 9 razy.   </t>
  </si>
  <si>
    <t xml:space="preserve">W 2016r. zorgaznizowano 1 spotkanie informacyjno-konsultacyjne  dla Partnerów KSOW w sprawie realizacji projektów w ramach Planu operacyjnego KSOW na lata 2016-2017 w zakresie roku 2016. Natomiast w 2017r. Zorganizowano 3 spotkania dla Partnerów KSOW, w tym 2  w sprawie realizacji projektów w ramach Planu operacyjnego KSOW na lata 2016-2017 w zakresie roku 2017r. i 2018r. oraz 1 w sprawie ogłoszonego Konkursu nr 1/2017 dla partnerów Krajowej Sieci Obszarów Wiejskich na wybór operacji, które były realizowane w 2017 r. w ramach dwuletniego planu operacyjnego na lata 2016–2017 </t>
  </si>
  <si>
    <r>
      <rPr>
        <b/>
        <sz val="10"/>
        <color indexed="8"/>
        <rFont val="Calibri"/>
        <family val="2"/>
        <charset val="238"/>
      </rPr>
      <t>2015r.</t>
    </r>
    <r>
      <rPr>
        <sz val="10"/>
        <color indexed="8"/>
        <rFont val="Calibri"/>
        <family val="2"/>
        <charset val="238"/>
      </rPr>
      <t xml:space="preserve"> - liczba osób wchodzących w skład WGR ds. KSOW woj. opolskiego - 23 osoby, w posiedzeniu uczestniczyły 33 osoby, głosowało na dwoma uchwałami każdorazowo po 20 osób, a w trybie obiegowym głosowało łącznie 12 członków                                                         .                                                                                                                                                                                                                                       </t>
    </r>
    <r>
      <rPr>
        <b/>
        <sz val="10"/>
        <color indexed="8"/>
        <rFont val="Calibri"/>
        <family val="2"/>
        <charset val="238"/>
      </rPr>
      <t xml:space="preserve">2016r. </t>
    </r>
    <r>
      <rPr>
        <sz val="10"/>
        <color indexed="8"/>
        <rFont val="Calibri"/>
        <family val="2"/>
        <charset val="238"/>
      </rPr>
      <t xml:space="preserve">-  liczba osób wchodzących w skład WGR ds. KSOW woj. opolskiego - 23 osoby, w posiedzeniach udział wzięły 23 osoby, a w trybie obiegowym głowowało łącznie 114 osób.         </t>
    </r>
    <r>
      <rPr>
        <b/>
        <sz val="10"/>
        <color indexed="8"/>
        <rFont val="Calibri"/>
        <family val="2"/>
        <charset val="238"/>
      </rPr>
      <t xml:space="preserve">                                                                                                                                                                                                                                                                                                 2017r. - </t>
    </r>
    <r>
      <rPr>
        <sz val="10"/>
        <color indexed="8"/>
        <rFont val="Calibri"/>
        <family val="2"/>
        <charset val="238"/>
      </rPr>
      <t xml:space="preserve"> liczba osób wchodzących w skład WGR ds. KSOW woj. opolskiego - 23 osoby, w trybie obiegowym głowowało łącznie 135 osób                                                 W spotkaniach informacyjno-konsultacyjnych dla Partnerów KSOW uczestniczyło: </t>
    </r>
    <r>
      <rPr>
        <b/>
        <sz val="10"/>
        <color indexed="8"/>
        <rFont val="Calibri"/>
        <family val="2"/>
        <charset val="238"/>
      </rPr>
      <t xml:space="preserve">w 2016r. </t>
    </r>
    <r>
      <rPr>
        <sz val="10"/>
        <color indexed="8"/>
        <rFont val="Calibri"/>
        <family val="2"/>
        <charset val="238"/>
      </rPr>
      <t xml:space="preserve">- 21 osób, </t>
    </r>
    <r>
      <rPr>
        <b/>
        <sz val="10"/>
        <color indexed="8"/>
        <rFont val="Calibri"/>
        <family val="2"/>
        <charset val="238"/>
      </rPr>
      <t>w 2017r</t>
    </r>
    <r>
      <rPr>
        <sz val="10"/>
        <color indexed="8"/>
        <rFont val="Calibri"/>
        <family val="2"/>
        <charset val="238"/>
      </rPr>
      <t xml:space="preserve">. - 81 osób.   </t>
    </r>
  </si>
  <si>
    <r>
      <rPr>
        <b/>
        <sz val="10"/>
        <color theme="1"/>
        <rFont val="Calibri"/>
        <family val="2"/>
        <charset val="238"/>
        <scheme val="minor"/>
      </rPr>
      <t xml:space="preserve">2015 -2017: </t>
    </r>
    <r>
      <rPr>
        <sz val="10"/>
        <color theme="1"/>
        <rFont val="Calibri"/>
        <family val="2"/>
        <charset val="238"/>
        <scheme val="minor"/>
      </rPr>
      <t xml:space="preserve">                                                                                                                                                                                                                                                                                                                                                                                                        </t>
    </r>
    <r>
      <rPr>
        <u/>
        <sz val="10"/>
        <color theme="1"/>
        <rFont val="Calibri"/>
        <family val="2"/>
        <charset val="238"/>
        <scheme val="minor"/>
      </rPr>
      <t xml:space="preserve">     </t>
    </r>
    <r>
      <rPr>
        <sz val="10"/>
        <color theme="1"/>
        <rFont val="Calibri"/>
        <family val="2"/>
        <charset val="238"/>
        <scheme val="minor"/>
      </rPr>
      <t xml:space="preserve">                                      Wykazano szkolenia realizowane w ramach planów operacyjnych oraz ze struktury KSOW    </t>
    </r>
    <r>
      <rPr>
        <b/>
        <sz val="10"/>
        <color theme="1"/>
        <rFont val="Calibri"/>
        <family val="2"/>
        <charset val="238"/>
        <scheme val="minor"/>
      </rPr>
      <t xml:space="preserve">                                                                                                                                                                                                       Zakres tematyczny - Inne:                                                                                                                                                                                                                                                                                                                   2015:                                                                                                                                                                                                                                                                                                                                                                               </t>
    </r>
    <r>
      <rPr>
        <sz val="10"/>
        <color theme="1"/>
        <rFont val="Calibri"/>
        <family val="2"/>
        <charset val="238"/>
        <scheme val="minor"/>
      </rPr>
      <t xml:space="preserve">1. Szkolenie z zakresu zamówień publicznych                                                                                                                                                                                                                                                                                        2. Szkolenie z obsługi programu CORELDRAW                                                                                                                                                                                                                                                                                    3. Szkolenie dla beneficjentów PT PROW 2014-2020        </t>
    </r>
    <r>
      <rPr>
        <sz val="10"/>
        <color theme="1"/>
        <rFont val="Calibri"/>
        <family val="2"/>
        <scheme val="minor"/>
      </rPr>
      <t xml:space="preserve">                                                                                                                                                                                                                                                                </t>
    </r>
    <r>
      <rPr>
        <b/>
        <sz val="10"/>
        <color theme="1"/>
        <rFont val="Calibri"/>
        <family val="2"/>
        <charset val="238"/>
        <scheme val="minor"/>
      </rPr>
      <t>2016:</t>
    </r>
    <r>
      <rPr>
        <sz val="10"/>
        <color theme="1"/>
        <rFont val="Calibri"/>
        <family val="2"/>
        <scheme val="minor"/>
      </rPr>
      <t xml:space="preserve">                                                                                                                                                                                                                                                                                                                                                                                              1. Szkolenie z Excel                                                                                                                                                                                                                                                                                                                                                2. Szkolenie z zakresu zamówień publicznych (nowelizacja ustawy)                                                                                                                                                                                                            3. Szkolenie na temat informowania o PROW 2014-2020                                                                                                                                                                                                                               4. Szkolenie dla beneficjentów PT PROW 2014-2020                                                                                                                                                                                                                                                                                  5. Szkolenie z generatora wniosków w ramach PT PROW 2014-2020                                                                                                                                                                                                                                                </t>
    </r>
    <r>
      <rPr>
        <b/>
        <sz val="10"/>
        <color theme="1"/>
        <rFont val="Calibri"/>
        <family val="2"/>
        <charset val="238"/>
        <scheme val="minor"/>
      </rPr>
      <t xml:space="preserve">2017:          </t>
    </r>
    <r>
      <rPr>
        <sz val="10"/>
        <color theme="1"/>
        <rFont val="Calibri"/>
        <family val="2"/>
        <scheme val="minor"/>
      </rPr>
      <t xml:space="preserve">                                                                                                                                                                                                                                                                                                                                               1. Szkolenie dla JR KSOW, CDR i ODR – nabór projektów w 2017r. i zmiana PO KSOW 2016-2017                                                                                                                                             2. Szkolenie „Copywriting &amp; Content Marketing w promocji Funduszy Unijnych”                                                                                                                                                                                              3. Szkolenie z zakresu obsługi Portalu Ogłoszeń ARiMR                                                                                                                                                                                                                                                            4. Szkolenie w zakresie ustawy Prawo Zamówień Publicznych </t>
    </r>
  </si>
  <si>
    <r>
      <rPr>
        <b/>
        <sz val="10"/>
        <color indexed="8"/>
        <rFont val="Calibri"/>
        <family val="2"/>
        <charset val="238"/>
      </rPr>
      <t xml:space="preserve">2015:                                                                                                                                                                                                                                                                                                                                                                                   </t>
    </r>
    <r>
      <rPr>
        <sz val="10"/>
        <color indexed="8"/>
        <rFont val="Calibri"/>
        <family val="2"/>
        <charset val="238"/>
      </rPr>
      <t xml:space="preserve">Uczestnikami szkoleń / warsztatów i wyjazdów studyjnych byli mieszkańcy Gminy Bierawa, w tym dzieci i młodzież szkolna, osoby odpowiedzialne za zarządzanie kryzysowe w regionie, kraju , NIemczech i Czechach, pracownicy naukowi, przedstawiciele straży pożarnej, pracownicy Jednostki Regionalnej KSOW woj opolskiego                                                                                                                                                                                                                                                                                                                                            </t>
    </r>
    <r>
      <rPr>
        <b/>
        <sz val="10"/>
        <color indexed="8"/>
        <rFont val="Calibri"/>
        <family val="2"/>
        <charset val="238"/>
      </rPr>
      <t xml:space="preserve">2016: </t>
    </r>
    <r>
      <rPr>
        <sz val="10"/>
        <color indexed="8"/>
        <rFont val="Calibri"/>
        <family val="2"/>
        <charset val="238"/>
      </rPr>
      <t xml:space="preserve">                                                                                                                                                                                                                                                                                                                                                   Uczestnikami szkoleń / warsztatów i wyjazdów studyjnych byli liderzy wiejscy, animatorzy życia na obszarach wiejskich, członkowie oraz potencjalni członkowie  sieci "Szlak Lulinarny Województwa Opolskiego </t>
    </r>
    <r>
      <rPr>
        <i/>
        <sz val="10"/>
        <color indexed="8"/>
        <rFont val="Calibri"/>
        <family val="2"/>
        <charset val="238"/>
      </rPr>
      <t>Opolski Bifyj</t>
    </r>
    <r>
      <rPr>
        <sz val="10"/>
        <color indexed="8"/>
        <rFont val="Calibri"/>
        <family val="2"/>
        <charset val="238"/>
      </rPr>
      <t>, mieszkańcy Gminy Bierawa, rolnicy z woj. opolskiego, doradcy rolni z Opolskiego Ośrodka Doradztwa Rolniczego w Łosiowie oraz pracownicy Jednostki Regionalnej KSOW woj opolskiego                                                                                                                                                               2017:                                                                                                                                                                                                                                                                                                                                                    Uczestnikami szkoleń / warsztatów i wyjazdów studyjnych byli liderzy wiejscy, animatorzy życia na obszarach wiejskich, przedstawiciele opolskich LGD mieszkańcy powiatu kędzierzyńsko-kozielskiego i oleskiego oraz pracownicy Jednostki Regionalnej KSOW woj opolskiego</t>
    </r>
  </si>
  <si>
    <t xml:space="preserve">1. W kosztach dot. wydarzeń ujęto także koszty wykonania materiałów promocyjnych i wizualizacyjnych w ramach Planu komunikacyjnego.                                                                         2. W kosztach związanych z innymi działaniami ujęto koszty poniesione na organizację posiedzeń WGR ds. KSOW i Zespołu Oceniającego, szkolenia (bez szkoleń ze struktury), warsztaty i wyjazdy studyjne.                                                                                                                      3.Koszty funkcjonowania dotyczą: wynagrodzenia pracowników JR KSOW, koszty najmu pomieszczeń biurowych wraz z energią elektryczną i ogrzewaniem, delegacji służbowych i szkoleń pracowników JR KSOW, zakupów art. biurowych, koszty napraw i konserwacji sprzętu biurowego. </t>
  </si>
  <si>
    <t>SR KSOW Województwa Podkarpackiego</t>
  </si>
  <si>
    <r>
      <rPr>
        <b/>
        <u/>
        <sz val="12"/>
        <color indexed="8"/>
        <rFont val="Arial"/>
        <family val="2"/>
        <charset val="238"/>
      </rPr>
      <t>Cel i kontekst Wspólnej Statystyki Sieci</t>
    </r>
    <r>
      <rPr>
        <sz val="12"/>
        <color indexed="8"/>
        <rFont val="Arial"/>
        <family val="2"/>
        <charset val="238"/>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Arial"/>
        <family val="2"/>
        <charset val="238"/>
      </rPr>
      <t>Powiązania między Wspólną Statystyką Sieci i obligatoryjnymi wskaźnikami monitorowania określonymi w rozporządzeniu wykonawczym KE (UE) nr 808/2014</t>
    </r>
    <r>
      <rPr>
        <sz val="12"/>
        <color indexed="8"/>
        <rFont val="Arial"/>
        <family val="2"/>
        <charset val="238"/>
      </rPr>
      <t xml:space="preserve">
Celem Wspólnej Statystyki Sieci jest ułatwienie zbierania danych do obligatoryjnych wskaźników. Wszystkie podmioty zaangażowane w realizację zadań sieci wypełniają tylko arkusz </t>
    </r>
    <r>
      <rPr>
        <i/>
        <sz val="12"/>
        <color indexed="8"/>
        <rFont val="Arial"/>
        <family val="2"/>
        <charset val="238"/>
      </rPr>
      <t xml:space="preserve">"Wspólna Statystyka Sieci". </t>
    </r>
    <r>
      <rPr>
        <sz val="12"/>
        <color indexed="8"/>
        <rFont val="Arial"/>
        <family val="2"/>
        <charset val="238"/>
      </rPr>
      <t xml:space="preserve">
</t>
    </r>
    <r>
      <rPr>
        <b/>
        <u/>
        <sz val="12"/>
        <color indexed="8"/>
        <rFont val="Arial"/>
        <family val="2"/>
        <charset val="238"/>
      </rPr>
      <t>Definicje i wytyczne do poszczególnych wskaźników</t>
    </r>
    <r>
      <rPr>
        <sz val="12"/>
        <color indexed="8"/>
        <rFont val="Arial"/>
        <family val="2"/>
        <charset val="238"/>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Arial"/>
        <family val="2"/>
        <charset val="238"/>
      </rPr>
      <t>omentarze"</t>
    </r>
    <r>
      <rPr>
        <sz val="12"/>
        <color indexed="8"/>
        <rFont val="Arial"/>
        <family val="2"/>
        <charset val="238"/>
      </rPr>
      <t xml:space="preserve">. 
 Zakres tematyczny został powiązany z priorytetami PROW 2014-2020.
</t>
    </r>
    <r>
      <rPr>
        <b/>
        <u/>
        <sz val="12"/>
        <color indexed="8"/>
        <rFont val="Arial"/>
        <family val="2"/>
        <charset val="238"/>
      </rPr>
      <t>Udział w budżecie</t>
    </r>
    <r>
      <rPr>
        <b/>
        <sz val="12"/>
        <color indexed="8"/>
        <rFont val="Arial"/>
        <family val="2"/>
        <charset val="238"/>
      </rPr>
      <t xml:space="preserve">
</t>
    </r>
    <r>
      <rPr>
        <sz val="12"/>
        <color indexed="8"/>
        <rFont val="Arial"/>
        <family val="2"/>
        <charset val="238"/>
      </rPr>
      <t>Szacowany podział budżetu (Tabela 8) ma na celu dostarczenie informacji jak proporcjonalnie środki</t>
    </r>
    <r>
      <rPr>
        <b/>
        <sz val="12"/>
        <color indexed="8"/>
        <rFont val="Arial"/>
        <family val="2"/>
        <charset val="238"/>
      </rPr>
      <t xml:space="preserve"> </t>
    </r>
    <r>
      <rPr>
        <sz val="12"/>
        <color indexed="8"/>
        <rFont val="Arial"/>
        <family val="2"/>
        <charset val="238"/>
      </rPr>
      <t xml:space="preserve">rocznego budżetu sieci zostały przeznaczone na odpowiednie działania objęte wskaźnikami. Proszę podaj budzet dla poszczególnych kategorii i wskaż trudności w komentarzu.
</t>
    </r>
    <r>
      <rPr>
        <b/>
        <u/>
        <sz val="12"/>
        <color indexed="8"/>
        <rFont val="Calibri"/>
        <family val="2"/>
        <charset val="238"/>
      </rPr>
      <t/>
    </r>
  </si>
  <si>
    <r>
      <t>Komentarze</t>
    </r>
    <r>
      <rPr>
        <sz val="12"/>
        <color indexed="8"/>
        <rFont val="Arial"/>
        <family val="2"/>
        <charset val="238"/>
      </rPr>
      <t xml:space="preserve"> 
(proszę wskazać co jest rozumiane przez kategorię "inne")</t>
    </r>
  </si>
  <si>
    <r>
      <t>Przedsięwzięcie zrealizowane z naciskiem na rozwój gospodarczy na obszarach wiejskich i włączenie społeczne</t>
    </r>
    <r>
      <rPr>
        <sz val="12"/>
        <color rgb="FFFF0000"/>
        <rFont val="Arial"/>
        <family val="2"/>
        <charset val="238"/>
      </rPr>
      <t xml:space="preserve"> </t>
    </r>
    <r>
      <rPr>
        <sz val="12"/>
        <rFont val="Arial"/>
        <family val="2"/>
        <charset val="238"/>
      </rPr>
      <t>(w wydarzeniu nie uczestniczyły innejednostki regionalne KSOW). Operacje o charakterze międzynarodowym to: Organizacja II Międzynarodowego Festiwalu Kuchni Dworskiej im. Hanny Szymanderskiej w Zamku Dubiecko (około 1000 uczestników) oraz EKOGALA międzynarodowe targi produktów i zywności wysokiej jakości (około 12 000 uczestników).</t>
    </r>
  </si>
  <si>
    <t>W wydarzeniu nie uczesticzyły inne jednistki regionalne KSOW.</t>
  </si>
  <si>
    <r>
      <t>Liczba innych narzędzi komunikacyjnych - proszę określić jakich w "</t>
    </r>
    <r>
      <rPr>
        <i/>
        <sz val="12"/>
        <color indexed="8"/>
        <rFont val="Arial"/>
        <family val="2"/>
        <charset val="238"/>
      </rPr>
      <t>Komentarzu"</t>
    </r>
  </si>
  <si>
    <r>
      <t xml:space="preserve">Komentarze 
</t>
    </r>
    <r>
      <rPr>
        <sz val="12"/>
        <color indexed="8"/>
        <rFont val="Arial"/>
        <family val="2"/>
        <charset val="238"/>
      </rPr>
      <t>(proszę wskazać co jest rozumiane przez kategorię "inne")</t>
    </r>
  </si>
  <si>
    <t>Funkcjonowanie Wojewódzkiej Grupy Roboczej ds.. Krajowej Sieci obszarów Wiejskich w wojeództwie podkarpackim (liczba spotakań grupy tematyczne obejmuje także głosowania w trybie obiegowym)</t>
  </si>
  <si>
    <r>
      <rPr>
        <b/>
        <sz val="12"/>
        <color theme="1"/>
        <rFont val="Arial"/>
        <family val="2"/>
        <charset val="238"/>
      </rPr>
      <t>Komentarze</t>
    </r>
    <r>
      <rPr>
        <sz val="12"/>
        <color theme="1"/>
        <rFont val="Arial"/>
        <family val="2"/>
        <charset val="238"/>
      </rPr>
      <t xml:space="preserve"> 
(proszę wskazać co jest rozumiane przez kategorię "inne")</t>
    </r>
  </si>
  <si>
    <t>Szkolenie dla beneficjentów i przyszłych beneficjentów PROW.</t>
  </si>
  <si>
    <r>
      <t xml:space="preserve">Komentarze </t>
    </r>
    <r>
      <rPr>
        <sz val="12"/>
        <color indexed="8"/>
        <rFont val="Arial"/>
        <family val="2"/>
        <charset val="238"/>
      </rPr>
      <t>(proszę wskazać także inne kategorie)</t>
    </r>
  </si>
  <si>
    <t>Koszty funkjcjonowania dotyczą: wynagrodzeń, szkoleń, wyjazdów służbowych, zaku materiałów biurowych, zakup programu corel, szkoleń.</t>
  </si>
  <si>
    <t>Sekretariat Regionalny KSOW Województwa Podlaskiego</t>
  </si>
  <si>
    <r>
      <t xml:space="preserve">W kategorii "inne" w 2016 roku uwzględniono:  
</t>
    </r>
    <r>
      <rPr>
        <sz val="10"/>
        <rFont val="Calibri"/>
        <family val="2"/>
        <charset val="238"/>
      </rPr>
      <t xml:space="preserve">- Operacje zrealizowane z partnerem KSOW: Zespołem Szkół Centrum Kształcenia Rolniczego w Rudce oraz Powiatem Monieckim realizujące jednocześnie 2 priorytety (P3 oraz P6)
- Udział stoiska informacyjno-promocyjnego podczas ważnych imprez plenerowych na terenie woj. podlaskiego podczas, którego świadczone było doradztwo w zakresie warunków i trybu przyznawania pomocy w ramach poddziałań wdrażanych przez Samorząd Województwa (4 edycje).     
- Spotkanie koordynacyjne zespołu ds. zadań informacyjno-promocyjnych PROW 2014-2020 z udziałem instytucji wdrażających oraz mediów regionalnych. </t>
    </r>
    <r>
      <rPr>
        <b/>
        <sz val="10"/>
        <rFont val="Calibri"/>
        <family val="2"/>
        <charset val="238"/>
      </rPr>
      <t xml:space="preserve">
Organizowane Wydarzenia przez JR KSOW w 2017 roku:
</t>
    </r>
    <r>
      <rPr>
        <b/>
        <u/>
        <sz val="10"/>
        <rFont val="Calibri"/>
        <family val="2"/>
        <charset val="238"/>
      </rPr>
      <t>W kategorii „Z naciskiem na żywotność i konkurencyjność gospodarstw” w 2017 roku uwzględniono:</t>
    </r>
    <r>
      <rPr>
        <b/>
        <sz val="10"/>
        <rFont val="Calibri"/>
        <family val="2"/>
        <charset val="238"/>
      </rPr>
      <t xml:space="preserve">
</t>
    </r>
    <r>
      <rPr>
        <sz val="10"/>
        <rFont val="Calibri"/>
        <family val="2"/>
        <charset val="238"/>
      </rPr>
      <t>1) IX Międzynarodowe Targi Turystyki Wiejskiej i Agroturystyki - AGROTRAVEL (7-9.04.2017),
2) Debata "Rolniczy handel detaliczny" (26.04.2017), 
3) Międzynarodowe Targi  Warsaw Food EXPO 2017 w Nadarzynie (1-3.06.2017),
4) Na Kulinarnym Szlaku Wschodniej Polski – Bychawa (27-28.05.2017),
5) Szepietowo XXIV Wystawa Zwierząt Hodowlanych i Dni z Doradztwem Rolniczym (24-25.06.2017),
6) Na Kulinarnym Szlaku Wschodniej Polski – Medynia (09.07.2017)
7) Na Kulinarnym Szlaku Wschodniej Polski – Drohiczyn (29-30.07.2017),
8) Dożynki Prezydenckie w Spale (16-17.09.2017)  
9) Targi "Smaki Regionów" w Poznaniu (23-26.09.2017),  
10) Spotkanie blogerów z producentami rolnymi,
11) Jarmark produktów tradycyjnych i lokalnych (27.08.2017),
12) Kiermasz zdrowej żywności i rękodzieła „NATURA I MY”,
13) Jagnięcina podlaska na śniadaniu Mistrzów (12.08.2017).</t>
    </r>
    <r>
      <rPr>
        <b/>
        <sz val="10"/>
        <rFont val="Calibri"/>
        <family val="2"/>
        <charset val="238"/>
      </rPr>
      <t xml:space="preserve">
</t>
    </r>
    <r>
      <rPr>
        <b/>
        <u/>
        <sz val="10"/>
        <rFont val="Calibri"/>
        <family val="2"/>
        <charset val="238"/>
      </rPr>
      <t xml:space="preserve">
 W kategorii "z naciskiem na zarządzanie ekosystemami, zasoby naturalne i klimat" uwzględniono:</t>
    </r>
    <r>
      <rPr>
        <b/>
        <sz val="10"/>
        <rFont val="Calibri"/>
        <family val="2"/>
        <charset val="238"/>
      </rPr>
      <t xml:space="preserve">  
</t>
    </r>
    <r>
      <rPr>
        <sz val="10"/>
        <rFont val="Calibri"/>
        <family val="2"/>
        <charset val="238"/>
      </rPr>
      <t xml:space="preserve">1) Debata "OZE na wsi dla zwykłego człowieka" (23.11.2017).  </t>
    </r>
    <r>
      <rPr>
        <b/>
        <sz val="10"/>
        <rFont val="Calibri"/>
        <family val="2"/>
        <charset val="238"/>
      </rPr>
      <t xml:space="preserve">
</t>
    </r>
    <r>
      <rPr>
        <b/>
        <u/>
        <sz val="10"/>
        <rFont val="Calibri"/>
        <family val="2"/>
        <charset val="238"/>
      </rPr>
      <t>W kategorii „Z naciskiem na włączenie społeczne, redukcja ubóstwa” w 2017 roku uwzględniono:</t>
    </r>
    <r>
      <rPr>
        <b/>
        <sz val="10"/>
        <rFont val="Calibri"/>
        <family val="2"/>
        <charset val="238"/>
      </rPr>
      <t xml:space="preserve">
</t>
    </r>
    <r>
      <rPr>
        <sz val="10"/>
        <rFont val="Calibri"/>
        <family val="2"/>
        <charset val="238"/>
      </rPr>
      <t xml:space="preserve">1) Forum Rolnicze  w Janowie z udziałem samorządu rolniczego (11.06.2017),
2) Święto Wsi - cudze chwalicie, swego nie znacie (10.09.2017).               </t>
    </r>
    <r>
      <rPr>
        <b/>
        <sz val="10"/>
        <rFont val="Calibri"/>
        <family val="2"/>
        <charset val="238"/>
      </rPr>
      <t xml:space="preserve">                                                                                                                                                       
</t>
    </r>
    <r>
      <rPr>
        <b/>
        <u/>
        <sz val="10"/>
        <rFont val="Calibri"/>
        <family val="2"/>
        <charset val="238"/>
      </rPr>
      <t>W kategorii "Inne lub mieszane" w 2017 roku uwzględniono:</t>
    </r>
    <r>
      <rPr>
        <b/>
        <sz val="10"/>
        <rFont val="Calibri"/>
        <family val="2"/>
        <charset val="238"/>
      </rPr>
      <t xml:space="preserve">
</t>
    </r>
    <r>
      <rPr>
        <sz val="10"/>
        <rFont val="Calibri"/>
        <family val="2"/>
        <charset val="238"/>
      </rPr>
      <t>1) Udział stoiska informacyjno-promocyjnego podczas ważnych imprez plenerowych na terenie woj. podlaskiego podczas, którego świadczone było doradztwo w zakresie warunków i trybu przyznawania pomocy w ramach poddziałań wdrażanych przez Samorząd Województwa (6 edycji),  
2) Przekazywanie informacji o PROW 2014-2020 pracownikom punktów informacyjnych (2 edycje),
3) Drewniane budownictwo w krajobrazie Podlasia. Dobre praktyki (20.09.2017).</t>
    </r>
    <r>
      <rPr>
        <b/>
        <sz val="10"/>
        <rFont val="Calibri"/>
        <family val="2"/>
        <charset val="238"/>
      </rPr>
      <t xml:space="preserve">
</t>
    </r>
  </si>
  <si>
    <r>
      <t xml:space="preserve">Organizowane przez JR KSOW wydarzenia w 2016 r. o zasięgu krajowym:
</t>
    </r>
    <r>
      <rPr>
        <sz val="10"/>
        <rFont val="Calibri"/>
        <family val="2"/>
        <charset val="238"/>
      </rPr>
      <t xml:space="preserve"> - Udział ze stoiskiem informacyjno – promocyjnym w Targach „Smaki Regionów” w Poznaniu  (zgodnie z informacją na stronie organizatora tragi odwiedziło 35 000 osób);</t>
    </r>
    <r>
      <rPr>
        <b/>
        <sz val="10"/>
        <rFont val="Calibri"/>
        <family val="2"/>
        <charset val="238"/>
      </rPr>
      <t xml:space="preserve">
  Organizowane przez JR KSOW wydarzenia w 2017 r.
</t>
    </r>
    <r>
      <rPr>
        <sz val="10"/>
        <rFont val="Calibri"/>
        <family val="2"/>
        <charset val="238"/>
      </rPr>
      <t xml:space="preserve">1) IX Międzynarodowe Targi Turystyki Wiejskiej i Agroturystyki  - AGROTRAVEL - 23 000 odwiedzających (dane ze strony organizatora) - Zasięg krajowy,
2) Debata "Rolniczy handel detaliczny" - 271 uczestników debaty - Zasięg lokalny/regionalny, 
3) Międzynarodowe Targi  Warsaw Food EXPO 2017 w Nadarzynie - 300 wystawców (dane ze strony organizatora)- Zasięg krajowy,
4) Na Kulinarnym Szlaku Wschodniej Polski – Bychawa - 15 000  odwiedzających (dane ze strony organizatora) - Zasięg krajowy,
5) Szepietowo XXIV Wystawa Zwierząt Hodowlanych i Dni z Doradztwem Rolniczym (brak danych) - Zasięg lokalny/regionalny,
6) Forum Rolnicze  w Janowie z udziałem samorządu rolniczego - 97 uczestników forum - Zasięg lokalny/regionalny,            
7) Debata "OZE na wsi dla zwykłego człowieka" - 62 uczestników debaty - Zasięg lokalny/regionalny,
8) Na Kulinarnym Szlaku Wschodniej Polski – Medynia - 50 wystawców (dane ze strony organizatora) - Zasięg krajowy, 
9) Na Kulinarnym Szlaku Wschodniej Polski – Drohiczyn - 30 wystawców (dane ze strony organizatora) - Zasięg krajowy, </t>
    </r>
    <r>
      <rPr>
        <sz val="10"/>
        <color rgb="FFFF0000"/>
        <rFont val="Calibri"/>
        <family val="2"/>
        <charset val="238"/>
      </rPr>
      <t xml:space="preserve">
</t>
    </r>
    <r>
      <rPr>
        <sz val="10"/>
        <rFont val="Calibri"/>
        <family val="2"/>
        <charset val="238"/>
      </rPr>
      <t>10) Dożynki Prezydenckie w Spale - około 10 000 odwiedzających (dane ze strony organizatora) - Zasięg krajowy,</t>
    </r>
    <r>
      <rPr>
        <sz val="10"/>
        <color rgb="FFFF0000"/>
        <rFont val="Calibri"/>
        <family val="2"/>
        <charset val="238"/>
      </rPr>
      <t xml:space="preserve">
</t>
    </r>
    <r>
      <rPr>
        <sz val="10"/>
        <rFont val="Calibri"/>
        <family val="2"/>
        <charset val="238"/>
      </rPr>
      <t xml:space="preserve">11) Targi "Smaki Regionów" w Poznaniu - około 200 wystawców (dane ze strony organizatora)- Zasięg krajowy, </t>
    </r>
    <r>
      <rPr>
        <sz val="10"/>
        <color rgb="FFFF0000"/>
        <rFont val="Calibri"/>
        <family val="2"/>
        <charset val="238"/>
      </rPr>
      <t xml:space="preserve">
</t>
    </r>
    <r>
      <rPr>
        <sz val="10"/>
        <rFont val="Calibri"/>
        <family val="2"/>
        <charset val="238"/>
      </rPr>
      <t xml:space="preserve">12) Spotkanie blogerów z producentami rolnymi -  33 uczestników - Zasięg lokalny/regionalny,      </t>
    </r>
    <r>
      <rPr>
        <sz val="10"/>
        <color rgb="FFFF0000"/>
        <rFont val="Calibri"/>
        <family val="2"/>
        <charset val="238"/>
      </rPr>
      <t xml:space="preserve">
</t>
    </r>
    <r>
      <rPr>
        <sz val="10"/>
        <rFont val="Calibri"/>
        <family val="2"/>
        <charset val="238"/>
      </rPr>
      <t>13) Jarmark produktów tradycyjnych i lokalnych - 55 wystawców - Zasięg lokalny/regionalny,</t>
    </r>
    <r>
      <rPr>
        <sz val="10"/>
        <color rgb="FFFF0000"/>
        <rFont val="Calibri"/>
        <family val="2"/>
        <charset val="238"/>
      </rPr>
      <t xml:space="preserve">
</t>
    </r>
    <r>
      <rPr>
        <sz val="10"/>
        <rFont val="Calibri"/>
        <family val="2"/>
        <charset val="238"/>
      </rPr>
      <t>14) Kiermasz zdrowej żywności i rękodzieła „NATURA I MY” - 1 000 odwiedzających (dane organizatora) - Zasięg lokalny/regionalny,</t>
    </r>
    <r>
      <rPr>
        <sz val="10"/>
        <color rgb="FFFF0000"/>
        <rFont val="Calibri"/>
        <family val="2"/>
        <charset val="238"/>
      </rPr>
      <t xml:space="preserve">
</t>
    </r>
    <r>
      <rPr>
        <sz val="10"/>
        <rFont val="Calibri"/>
        <family val="2"/>
        <charset val="238"/>
      </rPr>
      <t>15) Jagnięcina podlaska na śniadaniu Mistrzów - 35 wystawców - Zasięg lokalny/regionalny,</t>
    </r>
    <r>
      <rPr>
        <sz val="10"/>
        <color rgb="FFFF0000"/>
        <rFont val="Calibri"/>
        <family val="2"/>
        <charset val="238"/>
      </rPr>
      <t xml:space="preserve">
</t>
    </r>
    <r>
      <rPr>
        <sz val="10"/>
        <rFont val="Calibri"/>
        <family val="2"/>
        <charset val="238"/>
      </rPr>
      <t xml:space="preserve">16) Święto Wsi - cudze chwalicie, swego nie znacie - 12 wystawców - Zasięg lokalny/regionalny,      </t>
    </r>
    <r>
      <rPr>
        <sz val="10"/>
        <color rgb="FFFF0000"/>
        <rFont val="Calibri"/>
        <family val="2"/>
        <charset val="238"/>
      </rPr>
      <t xml:space="preserve">                                                                                                                                                                                                                    
</t>
    </r>
    <r>
      <rPr>
        <sz val="10"/>
        <rFont val="Calibri"/>
        <family val="2"/>
        <charset val="238"/>
      </rPr>
      <t xml:space="preserve">17) Udział stoiska informacyjno-promocyjnego podczas ważnych imprez plenerowych na terenie woj. podlaskiego podczas, którego świadczone było doradztwo w zakresie warunków i trybu przyznawania pomocy w ramach poddziałań wdrażanych przez  Samorząd Województwa (6 edycji) - liczba osób odwiedzających stoisko - 334 osoby - Zasięg lokalny/regionalny,  </t>
    </r>
    <r>
      <rPr>
        <sz val="10"/>
        <color rgb="FFFF0000"/>
        <rFont val="Calibri"/>
        <family val="2"/>
        <charset val="238"/>
      </rPr>
      <t xml:space="preserve">
</t>
    </r>
    <r>
      <rPr>
        <sz val="10"/>
        <rFont val="Calibri"/>
        <family val="2"/>
        <charset val="238"/>
      </rPr>
      <t>18) Przekazywanie informacji o PROW 2014-2020 pracownikom punktów informacyjnych (2 edycje) - 25 osób - Zasięg lokalny/regionalny.</t>
    </r>
    <r>
      <rPr>
        <sz val="10"/>
        <color rgb="FFFF0000"/>
        <rFont val="Calibri"/>
        <family val="2"/>
        <charset val="238"/>
      </rPr>
      <t xml:space="preserve">
</t>
    </r>
    <r>
      <rPr>
        <sz val="10"/>
        <rFont val="Calibri"/>
        <family val="2"/>
        <charset val="238"/>
      </rPr>
      <t>19) Drewniane budownictwo w krajobrazie Podlasia. Dobre praktyki - 50 osób - Zasięg lokalny/regionalny.</t>
    </r>
  </si>
  <si>
    <t xml:space="preserve">Dane wskazane w niniejszej tabeli dotyczą statystyki strony KSOW województwa podlaskiego administrowanej przez Jednostkę Centralną KSOW oraz statystyki strony PROW 2014-2020 prowadzonej przez UMWP. </t>
  </si>
  <si>
    <t xml:space="preserve"> #poznajprow (instagram i facebook)</t>
  </si>
  <si>
    <t>W kategorii "inne" w 2016 roku uwzględniono publikację "Stare w Nowym" dotyczącą rękodzieła ludowego (koronkarstwo).</t>
  </si>
  <si>
    <r>
      <rPr>
        <b/>
        <sz val="10"/>
        <rFont val="Calibri"/>
        <family val="2"/>
        <charset val="238"/>
        <scheme val="minor"/>
      </rPr>
      <t>Liczba multimediów i innych narzędzi komunikacji 2016 r.</t>
    </r>
    <r>
      <rPr>
        <sz val="10"/>
        <rFont val="Calibri"/>
        <family val="2"/>
        <charset val="238"/>
        <scheme val="minor"/>
      </rPr>
      <t xml:space="preserve"> 
W kategorii "Liczba innych narzędzi komunikacyjnych" w 2016 roku uwzględniono:                                                                                                                                                                     - 15 artykułów internetowych oraz 1 artykuł w prasie                                                                                                                                                                                                                            - tablice informacyjne (komplet 1)                                                                                                                                                                                                                                                                                                                                                                                                                                                                                          Do kategorii "Inne lub mieszane" zaliczają się w szczególności informacje na temat działań i poddziałań PROW 2014-2020 wdrażanych przez poszczególne instytucje oraz kampania informacyjna bezpieczna praca w gospodarstwie rolnym.              
</t>
    </r>
    <r>
      <rPr>
        <b/>
        <sz val="10"/>
        <rFont val="Calibri"/>
        <family val="2"/>
        <charset val="238"/>
        <scheme val="minor"/>
      </rPr>
      <t xml:space="preserve">Liczba multimediów i innych narzędzi komunikacji 2017 r. </t>
    </r>
    <r>
      <rPr>
        <sz val="10"/>
        <rFont val="Calibri"/>
        <family val="2"/>
        <charset val="238"/>
        <scheme val="minor"/>
      </rPr>
      <t xml:space="preserve">
W kategorii „Inne lub mieszane” uwzględniono:                                                                                                                                                                                                                                 1) „Olimpiadę Młodych Producentów Rolnych”
Zakres tematyczny konkursu obejmował m.in. zagadnienia związane z produkcją roślinną i  zwierzęcą, mechanizację rolnictwa, ochronę środowiska i odnawialne źródła energii, ekonomikę i zarządzanie, zasady bezpieczeństwa i higieny pracy a także zagadnienia dotyczące Wspólnej Polityki Rolnej oraz Programu Rozwoju Obszarów Wiejskich na lata 2014 - 2020.
2) Kampania informacyjna w zakresie zagrożeń związanych z wystąpieniem chorób zakaźnych zwierząt – afrykański pomór świń ASF, wysoce zjadliwa grypa ptaków HPAI 
3) 14 artykułów internetowych, 8 artykułów w prasie odnośnie KSOW (7 - Polska Press, 1 - Głos Siemiatycz)                                                                                                                      </t>
    </r>
  </si>
  <si>
    <t>Nie dotyczy</t>
  </si>
  <si>
    <t>Spotkania wojewódzkiej grupy roboczej ds. KSOW (w tym również w trybie obiegowym).</t>
  </si>
  <si>
    <r>
      <t xml:space="preserve">Liczba działań o charakterze szkoleniowym w 2016 roku:
</t>
    </r>
    <r>
      <rPr>
        <b/>
        <u/>
        <sz val="10"/>
        <rFont val="Calibri"/>
        <family val="2"/>
        <charset val="238"/>
        <scheme val="minor"/>
      </rPr>
      <t xml:space="preserve">W kategorii "Inne tematy lub tematy mieszane" uwzględniono: </t>
    </r>
    <r>
      <rPr>
        <b/>
        <sz val="10"/>
        <rFont val="Calibri"/>
        <family val="2"/>
        <charset val="238"/>
        <scheme val="minor"/>
      </rPr>
      <t xml:space="preserve">     
</t>
    </r>
    <r>
      <rPr>
        <sz val="10"/>
        <rFont val="Calibri"/>
        <family val="2"/>
        <charset val="238"/>
        <scheme val="minor"/>
      </rPr>
      <t>- szkolenia dla beneficjentów lub potencjalnych beneficjentów, pracowników PIFE oraz mediów regionalnych dot. działań i poddziałań wdrażanych przez SW, 
- szkolenie dotyczące nowelizacji PZP przeznaczone dla beneficjentów PROW 2014-2020.</t>
    </r>
    <r>
      <rPr>
        <b/>
        <sz val="10"/>
        <rFont val="Calibri"/>
        <family val="2"/>
        <charset val="238"/>
        <scheme val="minor"/>
      </rPr>
      <t xml:space="preserve">
Liczba działań o charakterze szkoleniowym w 2017 roku:
</t>
    </r>
    <r>
      <rPr>
        <b/>
        <u/>
        <sz val="10"/>
        <rFont val="Calibri"/>
        <family val="2"/>
        <charset val="238"/>
        <scheme val="minor"/>
      </rPr>
      <t>W kategorii „Z naciskiem na LEADER/RLKS i LGD…” uwzględniono:</t>
    </r>
    <r>
      <rPr>
        <b/>
        <sz val="10"/>
        <rFont val="Calibri"/>
        <family val="2"/>
        <charset val="238"/>
        <scheme val="minor"/>
      </rPr>
      <t xml:space="preserve">
</t>
    </r>
    <r>
      <rPr>
        <sz val="10"/>
        <rFont val="Calibri"/>
        <family val="2"/>
        <charset val="238"/>
        <scheme val="minor"/>
      </rPr>
      <t xml:space="preserve">1) Spotkanie informacyjne dla LGD dotyczące stanu wdrażania RLKS w województwie podlaskim (01.02.2017).
2) Forum Podlaskiej Sieci LGD w Rajgrodzie (11-12.05.2017).
3) Spotkanie informacyjne dla LGD związane z realizacją wielofunduszowych strategii (14.06.2017).                                                            
4) Forum Podlaskiej Sieci LGD w Pilikach (20-21.09.2017)   
</t>
    </r>
    <r>
      <rPr>
        <b/>
        <sz val="10"/>
        <rFont val="Calibri"/>
        <family val="2"/>
        <charset val="238"/>
        <scheme val="minor"/>
      </rPr>
      <t xml:space="preserve">
</t>
    </r>
    <r>
      <rPr>
        <b/>
        <u/>
        <sz val="10"/>
        <rFont val="Calibri"/>
        <family val="2"/>
        <charset val="238"/>
        <scheme val="minor"/>
      </rPr>
      <t>W kategorii "Z naciskiem na zarządzanie ekosystemami, zasoby naturalne i klimat":</t>
    </r>
    <r>
      <rPr>
        <b/>
        <sz val="10"/>
        <rFont val="Calibri"/>
        <family val="2"/>
        <charset val="238"/>
        <scheme val="minor"/>
      </rPr>
      <t xml:space="preserve">
</t>
    </r>
    <r>
      <rPr>
        <sz val="10"/>
        <rFont val="Calibri"/>
        <family val="2"/>
        <charset val="238"/>
        <scheme val="minor"/>
      </rPr>
      <t xml:space="preserve">1) Wyjazd studyjny dla LGD w zakresie Odnawialnych źródeł energii – w poszukiwaniu innowacyjnych rozwiązań (9-13.10.2017) </t>
    </r>
    <r>
      <rPr>
        <b/>
        <sz val="10"/>
        <rFont val="Calibri"/>
        <family val="2"/>
        <charset val="238"/>
        <scheme val="minor"/>
      </rPr>
      <t xml:space="preserve"> 
</t>
    </r>
    <r>
      <rPr>
        <b/>
        <u/>
        <sz val="10"/>
        <rFont val="Calibri"/>
        <family val="2"/>
        <charset val="238"/>
        <scheme val="minor"/>
      </rPr>
      <t>W kategorii „Z naciskiem na żywotność i konkurencyjność gospodarstw” uwzględniono</t>
    </r>
    <r>
      <rPr>
        <b/>
        <sz val="10"/>
        <rFont val="Calibri"/>
        <family val="2"/>
        <charset val="238"/>
        <scheme val="minor"/>
      </rPr>
      <t xml:space="preserve">:
</t>
    </r>
    <r>
      <rPr>
        <sz val="10"/>
        <rFont val="Calibri"/>
        <family val="2"/>
        <charset val="238"/>
        <scheme val="minor"/>
      </rPr>
      <t xml:space="preserve">
1) Seminarium pszczelarskie połączone z degustacją produktów pszczelich - przedsięwzięcie edukacyjne (22-23.04.2017),  
2) Przetwarzanie mleka udojowego – warsztaty serowarskie - Powiat siemiatycki, bielski, hajnowski, kolneński, zambrowski i łomżyński (27-29.03.2017, 15-17.11.2017 oraz 22-24.11.2017),                                        
3) Warsztaty pn. "Rośliny bobowate grubonasienne w województwie podlaskim jako alternatywa dla importowanej poekstrakcyjnej śruty sojowej" (13-14.06.2017 oraz 16.11.2017),  
4) Cykl szkoleń nt. obowiązku w etykietowaniu produktów spożywczych dotyczących wartości odżywcze (12-15.12.2017),
5) Wyjazd studyjny dla rolników pn. "Sieciowanie współpracy rolniczej  jako metody zwiększenia opłacalności produkcji" (7-9.12.2017),</t>
    </r>
    <r>
      <rPr>
        <sz val="10"/>
        <color rgb="FFFF0000"/>
        <rFont val="Calibri"/>
        <family val="2"/>
        <charset val="238"/>
        <scheme val="minor"/>
      </rPr>
      <t xml:space="preserve">
</t>
    </r>
    <r>
      <rPr>
        <sz val="10"/>
        <rFont val="Calibri"/>
        <family val="2"/>
        <charset val="238"/>
        <scheme val="minor"/>
      </rPr>
      <t xml:space="preserve">6)  "Wieprzowina w różnych odsłonach a sprzedaż bezpośrednia - seminarium i warsztaty" (23-24.10.2017 oraz 27.10.2017). </t>
    </r>
    <r>
      <rPr>
        <b/>
        <sz val="10"/>
        <rFont val="Calibri"/>
        <family val="2"/>
        <charset val="238"/>
        <scheme val="minor"/>
      </rPr>
      <t xml:space="preserve">
W kategorii "Z naciskiem na włączenie społeczne, redukcja ubóstwa" uwzględniono:
</t>
    </r>
    <r>
      <rPr>
        <sz val="10"/>
        <rFont val="Calibri"/>
        <family val="2"/>
        <charset val="238"/>
        <scheme val="minor"/>
      </rPr>
      <t>1) Warsztaty pn. "Produkty rolne z Podlaskiego w walce z cukrzycą" (29.11.2017, 04.12.2017 oraz 08.12.2017),
2) Warsztaty tkackie pn. "Kultywowanie tradycyjnych zawodów - tkanina dwuosnowowa z Korycina" (29.04.2017, 20.05.2017, 17.06.2017, 01.07.2017 oraz 05.08.2017),
3) Szkolenie pn. "Innowacyjne technologie w agrotechnice szansą na wzrost rentowności gospodarstw rolnych (w tym aspekt doświadczalnictwa oceny odmian)" (22.09.2017),
4) Warsztaty pn. "Etno - design - dochodowa tradycja" (31.08-2.09.2017 oraz 28-30.09.2017),</t>
    </r>
    <r>
      <rPr>
        <sz val="10"/>
        <color rgb="FFFF0000"/>
        <rFont val="Calibri"/>
        <family val="2"/>
        <charset val="238"/>
        <scheme val="minor"/>
      </rPr>
      <t xml:space="preserve">
</t>
    </r>
    <r>
      <rPr>
        <sz val="10"/>
        <rFont val="Calibri"/>
        <family val="2"/>
        <charset val="238"/>
        <scheme val="minor"/>
      </rPr>
      <t>5) Warsztaty pn. "Żywność tradycyjna impulsem rozwoju usług na obszarach wiejskich" (3-6.10.2017 oraz 6-9.11.2017),</t>
    </r>
    <r>
      <rPr>
        <sz val="10"/>
        <color rgb="FFFF0000"/>
        <rFont val="Calibri"/>
        <family val="2"/>
        <charset val="238"/>
        <scheme val="minor"/>
      </rPr>
      <t xml:space="preserve">
</t>
    </r>
    <r>
      <rPr>
        <sz val="10"/>
        <rFont val="Calibri"/>
        <family val="2"/>
        <charset val="238"/>
        <scheme val="minor"/>
      </rPr>
      <t>6) Zajęcia edukacyjne pn."W podróży dookoła świata" (20-22.09.2017 oraz 25-26.09.2017 - Sojczyn Borowy, 20-22.09.2017 oraz 25-26.09.2017 - Białaszewo, 20-22.09.2017 oraz 25-26.09.2017 Boczki Świdnowo, 20-22.09.2017 oraz 25-26.09.2017 - Wojewodzin, 20-22.09.2017 oraz 25-26.09.2017 - Szymany</t>
    </r>
    <r>
      <rPr>
        <sz val="10"/>
        <color rgb="FFFF0000"/>
        <rFont val="Calibri"/>
        <family val="2"/>
        <charset val="238"/>
        <scheme val="minor"/>
      </rPr>
      <t xml:space="preserve">
</t>
    </r>
    <r>
      <rPr>
        <sz val="10"/>
        <rFont val="Calibri"/>
        <family val="2"/>
        <charset val="238"/>
        <scheme val="minor"/>
      </rPr>
      <t>7) Warsztaty pn. "Piękno naszych babć – powrót do natury" (15-16.09.2017 oraz 22-23.09.2017),</t>
    </r>
    <r>
      <rPr>
        <sz val="10"/>
        <color rgb="FFFF0000"/>
        <rFont val="Calibri"/>
        <family val="2"/>
        <charset val="238"/>
        <scheme val="minor"/>
      </rPr>
      <t xml:space="preserve">
</t>
    </r>
    <r>
      <rPr>
        <sz val="10"/>
        <rFont val="Calibri"/>
        <family val="2"/>
        <charset val="238"/>
        <scheme val="minor"/>
      </rPr>
      <t>8) Warsztaty pn. "Małe przetwórstwo szansą na rozwój lokalny" (04.10.2017, 11.10.2017, 18.10.2017, 19.10.2017),</t>
    </r>
    <r>
      <rPr>
        <sz val="10"/>
        <color rgb="FFFF0000"/>
        <rFont val="Calibri"/>
        <family val="2"/>
        <charset val="238"/>
        <scheme val="minor"/>
      </rPr>
      <t xml:space="preserve">
</t>
    </r>
    <r>
      <rPr>
        <sz val="10"/>
        <rFont val="Calibri"/>
        <family val="2"/>
        <charset val="238"/>
        <scheme val="minor"/>
      </rPr>
      <t>9) Konferencja pn. "Od aktywnego Koła Gospodyń Wiejskich do aktywnej wsi" (18.10.2017),</t>
    </r>
    <r>
      <rPr>
        <sz val="10"/>
        <color rgb="FFFF0000"/>
        <rFont val="Calibri"/>
        <family val="2"/>
        <charset val="238"/>
        <scheme val="minor"/>
      </rPr>
      <t xml:space="preserve">
</t>
    </r>
    <r>
      <rPr>
        <sz val="10"/>
        <rFont val="Calibri"/>
        <family val="2"/>
        <charset val="238"/>
        <scheme val="minor"/>
      </rPr>
      <t>10) Warsztaty pn. "Ogród ziołowy - tradycja, zdrowie, rozwój" (10.08.2017).</t>
    </r>
    <r>
      <rPr>
        <b/>
        <sz val="10"/>
        <rFont val="Calibri"/>
        <family val="2"/>
        <charset val="238"/>
        <scheme val="minor"/>
      </rPr>
      <t xml:space="preserve">
W kategorii "Inne tematy lub tematy mieszane" uwzględniono:  
</t>
    </r>
    <r>
      <rPr>
        <sz val="10"/>
        <rFont val="Calibri"/>
        <family val="2"/>
        <charset val="238"/>
        <scheme val="minor"/>
      </rPr>
      <t>1) Szkolenie "Funkcjonowanie KSOW w nowej perspektywie finansowej" (30.01.2017),   
2) Szkolenie dotyczące zasad wypełniania wniosku o przyznanie pomocy dla operacji typu „inwestycje w targowiska lub obiekty budowlane przeznaczone na cele lokalnych produktów” (20.06.2017),
3) Szkolenie pn. "Rachunkowość rolna - nie ma powodu by się jej bać" (26.10.2017),</t>
    </r>
    <r>
      <rPr>
        <b/>
        <sz val="10"/>
        <color rgb="FFFF0000"/>
        <rFont val="Calibri"/>
        <family val="2"/>
        <charset val="238"/>
        <scheme val="minor"/>
      </rPr>
      <t xml:space="preserve">
</t>
    </r>
    <r>
      <rPr>
        <sz val="10"/>
        <rFont val="Calibri"/>
        <family val="2"/>
        <charset val="238"/>
        <scheme val="minor"/>
      </rPr>
      <t xml:space="preserve">4) Szkolenie "Rozwój przedsiębiorczości na obszarze wiejskim - szkolenie dla beneficjentów PROW" (10.07.2017), 
5) Szkolenie dla Partnerów KSOW pn. "Omówienie zasad realizacji operacji w ramach Planu Działania KSOW",                                                                                                                                                                                                                                                                                                                                6) Szkolenie dla LGD nt. Konkurencyjnego wyboru wykonawców,                                                                                                                                                                                                                                                                                                                                                                                                                                7) Spotkanie informacyjno-edukacyjne dla beneficjentów realizujących operację typu „Inwestycje w targowiska lub obiekty budowlane przeznaczone na cele lokalnych produktów”. </t>
    </r>
  </si>
  <si>
    <r>
      <t xml:space="preserve">Liczba osób biorących udział w działaniach szkoleniowych w 2016 roku:
</t>
    </r>
    <r>
      <rPr>
        <u/>
        <sz val="10"/>
        <rFont val="Calibri"/>
        <family val="2"/>
        <charset val="238"/>
      </rPr>
      <t>W kategorii "Inne tematy lub tematy mieszane" uwzględniono:</t>
    </r>
    <r>
      <rPr>
        <sz val="10"/>
        <rFont val="Calibri"/>
        <family val="2"/>
        <charset val="238"/>
      </rPr>
      <t xml:space="preserve">
Przedstawicieli instytucji wdrażającej, przedstawicieli mediów lokalnych, członków organizacji pozarządowych oraz osoby zamieszkujące obszary wiejskie.
Liczba osób biorących udział w działaniach szkoleniowych w 2017 roku:
</t>
    </r>
    <r>
      <rPr>
        <u/>
        <sz val="10"/>
        <rFont val="Calibri"/>
        <family val="2"/>
        <charset val="238"/>
      </rPr>
      <t>W kategorii  „Z naciskiem na LEADER/RLKS i LGD…” uwzględniono:</t>
    </r>
    <r>
      <rPr>
        <sz val="10"/>
        <rFont val="Calibri"/>
        <family val="2"/>
        <charset val="238"/>
      </rPr>
      <t xml:space="preserve">
1) Spotkanie informacyjne dla LGD dotyczące stanu wdrażania RLKS w województwie podlaskim (w szkoleniu uczestniczyło 39 osób w tym 19 to przedstawiciele IW, a 20 to przedstawiciele LGD ). 
2) Forum Podlaskiej Sieci LGD w Rajgrodzie (51 osób w tym 11 osób to przedstawiciele IW, a 40 to przedstawiciele LGD).
3) Spotkanie informacyjne dla LGD związane z realizacją wielofunduszowych strategii (40 osób w tym 21 osób to przedstawiciele IW, a 19 to przedstawiciele LGD). 
4) Forum Podlaskiej Sieci LGD w Pilikach (60 osób w tym 16 osób to przedstawiciele IW, a 44 to przedstawiciele LGD) 
</t>
    </r>
    <r>
      <rPr>
        <u/>
        <sz val="10"/>
        <rFont val="Calibri"/>
        <family val="2"/>
        <charset val="238"/>
      </rPr>
      <t>W kategorii "Z naciskiem na zarządzanie ekosystemami, zasoby naturalne i klimat":</t>
    </r>
    <r>
      <rPr>
        <sz val="10"/>
        <rFont val="Calibri"/>
        <family val="2"/>
        <charset val="238"/>
      </rPr>
      <t xml:space="preserve">
1) Odnawialne źródła energii – w poszukiwaniu innowacyjnych rozwiązań (w wyjeździe uczestniczyło 29 osób w tym 27 przedstawiciele LGD) 
</t>
    </r>
    <r>
      <rPr>
        <u/>
        <sz val="10"/>
        <rFont val="Calibri"/>
        <family val="2"/>
        <charset val="238"/>
      </rPr>
      <t>W kategorii „Z naciskiem na żywotność i konkurencyjność gospodarstw” uwzględniono:</t>
    </r>
    <r>
      <rPr>
        <sz val="10"/>
        <rFont val="Calibri"/>
        <family val="2"/>
        <charset val="238"/>
      </rPr>
      <t xml:space="preserve">
1) Seminarium pszczelarskie połączone z degustacją produktów pszczelich - przedsięwzięcie edukacyjne (w seminarium uczestniczyło 121 osób).
2) Przetwarzanie mleka udojowego – warsztaty serowarskie - Powiat siemiatycki, bielski, hajnowski, kolneński, zambrowski i łomżyński (w warsztatach uczestniczyło łącznie 177 osoby).  
3) Warsztaty pn. "Rośliny bobowate grubonasienne w województwie podlaskim jako alternatywa dla importowanej poekstrakcyjnej śruty sojowej" (403 osoby)</t>
    </r>
    <r>
      <rPr>
        <sz val="10"/>
        <color rgb="FFFF0000"/>
        <rFont val="Calibri"/>
        <family val="2"/>
        <charset val="238"/>
      </rPr>
      <t xml:space="preserve">
</t>
    </r>
    <r>
      <rPr>
        <sz val="10"/>
        <rFont val="Calibri"/>
        <family val="2"/>
        <charset val="238"/>
      </rPr>
      <t>4) Cykl szkoleń nt. obowiązku w etykietowaniu produktów spożywczych dotyczących wartości odżywczej (91 osób),</t>
    </r>
    <r>
      <rPr>
        <sz val="10"/>
        <color rgb="FFFF0000"/>
        <rFont val="Calibri"/>
        <family val="2"/>
        <charset val="238"/>
      </rPr>
      <t xml:space="preserve">
</t>
    </r>
    <r>
      <rPr>
        <sz val="10"/>
        <rFont val="Calibri"/>
        <family val="2"/>
        <charset val="238"/>
      </rPr>
      <t xml:space="preserve">5) Wyjazd studyjny dla rolników pn. "Sieciowanie współpracy rolniczej  jako metody zwiększenia opłacalności produkcji" (22 osoby),
6)  "Wieprzowina w różnych odsłonach a sprzedaż bezpośrednia - seminarium i warsztaty" (60 osób). 
</t>
    </r>
    <r>
      <rPr>
        <u/>
        <sz val="10"/>
        <rFont val="Calibri"/>
        <family val="2"/>
        <charset val="238"/>
      </rPr>
      <t>W kategorii "Z naciskiem na włączenie społeczne, redukcja ubóstwa" uwzględniono:</t>
    </r>
    <r>
      <rPr>
        <sz val="10"/>
        <rFont val="Calibri"/>
        <family val="2"/>
        <charset val="238"/>
      </rPr>
      <t xml:space="preserve">
1) "Produkty rolne z Podlaskiego w walce z cukrzycą" - w warsztatach uczestniczyło łącznie 121 osób,
2)  Kultywowanie tradycyjnych zawodów - tkanina dwuosnowowa z Korycina - w warsztatach uczesniczyło łącznie 100 osób.
3) Szkolenie pn. "Innowacyjne technologie w agrotechnice szansą na wzrost rentowności gospodarstw rolnych (w tym aspekt doświadczalnictwa oceny odmian)" (105 osób),
4) Warsztaty pn. "Etno - design - dochodowa tradycja" (20 osób),</t>
    </r>
    <r>
      <rPr>
        <sz val="10"/>
        <color rgb="FFFF0000"/>
        <rFont val="Calibri"/>
        <family val="2"/>
        <charset val="238"/>
      </rPr>
      <t xml:space="preserve">
</t>
    </r>
    <r>
      <rPr>
        <sz val="10"/>
        <rFont val="Calibri"/>
        <family val="2"/>
        <charset val="238"/>
      </rPr>
      <t>5) Warsztaty pn. "Żywność tradycyjna impulsem rozwoju usług na obszarach wiejskich" (40 osób),</t>
    </r>
    <r>
      <rPr>
        <sz val="10"/>
        <color rgb="FFFF0000"/>
        <rFont val="Calibri"/>
        <family val="2"/>
        <charset val="238"/>
      </rPr>
      <t xml:space="preserve">
</t>
    </r>
    <r>
      <rPr>
        <sz val="10"/>
        <rFont val="Calibri"/>
        <family val="2"/>
        <charset val="238"/>
      </rPr>
      <t>6) Zajęcia edukacyjne pn."W podróży dookoła świata" (246 osób),</t>
    </r>
    <r>
      <rPr>
        <sz val="10"/>
        <color rgb="FFFF0000"/>
        <rFont val="Calibri"/>
        <family val="2"/>
        <charset val="238"/>
      </rPr>
      <t xml:space="preserve">
</t>
    </r>
    <r>
      <rPr>
        <sz val="10"/>
        <rFont val="Calibri"/>
        <family val="2"/>
        <charset val="238"/>
      </rPr>
      <t>7) Warsztaty pn. "Piękno naszych babć – powrót do natury" (40 osób),</t>
    </r>
    <r>
      <rPr>
        <sz val="10"/>
        <color rgb="FFFF0000"/>
        <rFont val="Calibri"/>
        <family val="2"/>
        <charset val="238"/>
      </rPr>
      <t xml:space="preserve">
</t>
    </r>
    <r>
      <rPr>
        <sz val="10"/>
        <rFont val="Calibri"/>
        <family val="2"/>
        <charset val="238"/>
      </rPr>
      <t>8) Warsztaty pn. "Małe przetwórstwo szansą na rozwój lokalny" (60 osób),</t>
    </r>
    <r>
      <rPr>
        <sz val="10"/>
        <color rgb="FFFF0000"/>
        <rFont val="Calibri"/>
        <family val="2"/>
        <charset val="238"/>
      </rPr>
      <t xml:space="preserve">
</t>
    </r>
    <r>
      <rPr>
        <sz val="10"/>
        <rFont val="Calibri"/>
        <family val="2"/>
        <charset val="238"/>
      </rPr>
      <t>9) Konferencja pn. "Od aktywnego Koła Gospodyń Wiejskich do aktywnej wsi" (72 osoby),</t>
    </r>
    <r>
      <rPr>
        <sz val="10"/>
        <color rgb="FFFF0000"/>
        <rFont val="Calibri"/>
        <family val="2"/>
        <charset val="238"/>
      </rPr>
      <t xml:space="preserve">
</t>
    </r>
    <r>
      <rPr>
        <sz val="10"/>
        <rFont val="Calibri"/>
        <family val="2"/>
        <charset val="238"/>
      </rPr>
      <t xml:space="preserve">10) Warsztaty pn. "Ogród ziołowy - tradycja, zdrowie, rozwój" (90 osób).
</t>
    </r>
    <r>
      <rPr>
        <u/>
        <sz val="10"/>
        <rFont val="Calibri"/>
        <family val="2"/>
        <charset val="238"/>
      </rPr>
      <t xml:space="preserve">
W kategorii "Inne tematy lub tematy mieszane" uwzględniono:</t>
    </r>
    <r>
      <rPr>
        <sz val="10"/>
        <rFont val="Calibri"/>
        <family val="2"/>
        <charset val="238"/>
      </rPr>
      <t xml:space="preserve"> 
1) Szkolenie "Funkcjonowanie KSOW w nowej perspektywie finansowej" (w szkoleniu uczestniczyło 57 osób w tym 51 to partnerzy KSOW).  
2) Szkolenie dotyczące zasad wypełniania wniosku o przyznanie pomocy dla operacji typu „Inwestycje w targowiska lub obiekty budowlane przeznaczone na cele lokalnych produktów” (w szkoleniu uczestniczyło 35 osób). 
3) Szkolenie "Rozwój przedsiębiorczości na obszarze wiejskim - szkolenie dla beneficjentów PROW" (w szkoleniu uczesniczyło 35 osób, w tym 29 to przedstawiciele LGD). 
4) Szkolenie dla Partnerów KSOW pn. "Omówienie zasad realizacji operacji w ramach Planu Działania KSOW" (w szkoleniu uczestniczyło 36 osób w tym 28 osób to Partnerzy KSOW).
5) Szkolenie dla LGD nt. Konkurencyjnego wyboru wykonawców (W szkoleniu uczestniczyło 36 osób, w tym 27 to przedstawiciele LGD). 
6) Spotkanie informacyjno-edukacyjne dla beneficjentów realizujących operację typu „Inwestycje w targowiska lub obiekty budowlane przeznaczone na cele lokalnych produktów”. 
7) Szkolenie pn. "Rachunkowość rolna - nie ma powodu by się jej bać" (w szkoleniu uczestniczyło 50 osób)
W kategorii "Inne tematy lub tematy mieszane" uwzględniono:                                                                                     
Podmioty zainteresowane pszczelarstwem z województwa podlaskiego, uczniowie szkół rolniczych Partnerzy KSOW, mieszkańcy obszarów wiejskich woj. podlaskiego, przedstawiciele instytucji wdrażającej oraz potencjalni beneficjenci PROW.
</t>
    </r>
  </si>
  <si>
    <t>Do kosztów funkcjonowania zaliczono: wydatki związane z wynagrodzeniami pracowników, koszty delegacji, koszty administracyjne, zakup artykułów biurowych niezbędnych do funkcjonowania JR KSOW, itp.</t>
  </si>
  <si>
    <t>JR KSOW Województwa Pomorskiego</t>
  </si>
  <si>
    <t>załacznik nr 2</t>
  </si>
  <si>
    <t>1. Wydarzenia*</t>
  </si>
  <si>
    <r>
      <t>Komentarze</t>
    </r>
    <r>
      <rPr>
        <sz val="10"/>
        <rFont val="Calibri"/>
        <family val="2"/>
      </rPr>
      <t xml:space="preserve"> 
(proszę wskazać co jest rozumiane przez kategorię "inne")</t>
    </r>
  </si>
  <si>
    <r>
      <rPr>
        <b/>
        <sz val="10"/>
        <rFont val="Calibri"/>
        <family val="2"/>
      </rPr>
      <t>dot. poz</t>
    </r>
    <r>
      <rPr>
        <sz val="10"/>
        <rFont val="Calibri"/>
        <family val="2"/>
      </rPr>
      <t xml:space="preserve">. </t>
    </r>
    <r>
      <rPr>
        <b/>
        <sz val="10"/>
        <rFont val="Calibri"/>
        <family val="2"/>
      </rPr>
      <t>O16 z naciskiem na inne tematy, w tym;</t>
    </r>
  </si>
  <si>
    <t xml:space="preserve">1) promocję turystyki regionalnej </t>
  </si>
  <si>
    <t xml:space="preserve">2) promocję kultury polskiej wsi, zachowanie dziedzictwa kulturowego </t>
  </si>
  <si>
    <t>3) promocja Programu PROW 2014-2020</t>
  </si>
  <si>
    <t xml:space="preserve">dot. poz. F18 </t>
  </si>
  <si>
    <t>dot. poz. F19:</t>
  </si>
  <si>
    <t>1)  Agrotravel - stoisko promujace region Kaszub (2016) w ramacj realizacji operacji "Rekreacja i edukacja przyrodnicza na kaszubskiej wsi"</t>
  </si>
  <si>
    <t>1.2 Liczba uczestników wydarzeń*</t>
  </si>
  <si>
    <t>dot. poz. D31:</t>
  </si>
  <si>
    <t>1924 ilość uczestników wydarzeń, na których były prowadzone listy obecności (40)</t>
  </si>
  <si>
    <t>20260 ilości  uczestników wydarzeń plenerowych/wystaw/targów/itp. (9)</t>
  </si>
  <si>
    <t xml:space="preserve">* nie wykazano ilości uczestników konkursu (dane te wskazano w tab.2.4) </t>
  </si>
  <si>
    <r>
      <t xml:space="preserve">dot. poz. D42 i E42: </t>
    </r>
    <r>
      <rPr>
        <sz val="10"/>
        <rFont val="Calibri"/>
        <family val="2"/>
      </rPr>
      <t>wskazane dane dot. strony internetowej (dprow.pomorskie.eu) z powodu problemów z synchronizacją identyfikatora śledzenia i URL są zaniżone w stosunku do rzeczywistego poziomu liczby odwiedzin strony</t>
    </r>
  </si>
  <si>
    <r>
      <t>dot. poz. D43 i E43</t>
    </r>
    <r>
      <rPr>
        <sz val="10"/>
        <rFont val="Calibri"/>
        <family val="2"/>
      </rPr>
      <t xml:space="preserve"> - wskazane dane dot. strony internetowej -dprow.pomorskie.eu (dane dot. zakładki pomorskie strony ksow.pl wyniosły: liczba odwiedzin strony 4496, liczba unikalnych uzytkowników 3157)</t>
    </r>
  </si>
  <si>
    <t>dot.poz. E53:</t>
  </si>
  <si>
    <t>1) platforma elektroniczna powstała w ramach realizacji  projektu przez Partnera KSOW "Integracja działań na rzecz rozwoju obszarów wiejskich Pomorza"</t>
  </si>
  <si>
    <t>dot. poz. L64</t>
  </si>
  <si>
    <t>1) 3 publikacje promujące regiona pod względem turystycznym wydane w ramach operacji  "Rekreacja i edukacja przyrodnicza na kaszubskiej wsi"</t>
  </si>
  <si>
    <t>2) 1 publikacja dot. promocji kultury Kociewia wydana w ramach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t>
  </si>
  <si>
    <t>3) 3 publikacja promujaca projekty realizowane w ramach PO 2016-2017 ("Integracja działań na rzecz rozwoju obszarów wiejskich Pomorza" x1; "Pomorska Wojewódzka Wystawa Zwierząt Hodowlanych - wystawa koni, owiec pokaz królików, gołębi, drobiu handlowego o ozdobnego" x2)</t>
  </si>
  <si>
    <t>dot. L65:</t>
  </si>
  <si>
    <t>1) publikacje promująca projekty realizowane w ramach PO 2016-2017 (2): katalog zwierząt wydany w ramach operacji "Kaszubska Jesień Rolnicza - Wystawa Zwierząt i Zawody w powożeniu zaprzęgami konnymi"; publikacja   prezentujaca przepisy kulinrne wydana w ramach operacji "Chmieleńskie Babki Wielkanocne";</t>
  </si>
  <si>
    <t>2) publikacja (1) promująca produkt z oznaczeniem ChOG wydana w ramamach operacji "II Festiwal Truskawek Kaszubskich" (1000 egz.)</t>
  </si>
  <si>
    <r>
      <t>Liczba innych narzędzi komunikacyjnych - proszę określić jakich w "</t>
    </r>
    <r>
      <rPr>
        <i/>
        <sz val="10"/>
        <rFont val="Calibri"/>
        <family val="2"/>
      </rPr>
      <t>Komentarzu"</t>
    </r>
  </si>
  <si>
    <t>dot. poz. D74: 
projekty własne: 624 spoty radiowe/emisje w 8 rozgłośniach regionalnych (8x78 spotów=624) w ramach wydarzenia – DOFE (ze środków KSOW sfinansowanych zostało 156 spotów), 
projekty Partnerów KSOW: 35 spotów w rozgłośni regionalnej  (operacja „Jarmark Rękodzieła Ziemi Człuchowskiej" )                                                                                                                                                                         dot. poz. D75: 
projekty własne: 130 spotów radiowych/emisji  w 8 rozgłośniach regionalnych w ramach wydarzenia DOFE, 60 spotów w rozgłośni regionalnej w  ramach wydarzenia Pomorskie Święto Produktu Tradycyjnego, 
projekty Partnerów KSOW: 14 spotów w rozgłośni regionalnej (operacja "Smaki i produkty lokalne Ziemi Człuchowskiej") 
dot. poz. E74: 
projekty własne: 1 x konkurs kulinarny  (Pomorskie Święto Produktu Tradycyjnego),  1x konkurs plastyczny dot. tematyki unijnej, 1 x konkurs związany z promocja obszarów wiejskich (konkurs "Piękna Wieś");
projekty Partnerów KSOW: 2 x konkurs kulinarny (operacje: "I Festiwal Truskawek Kaszubskich", "Słupskie Pokopki"), 1 x konkurs agroturystyczny (operacja "Konferencja agroturystyczna połączona z konkursem na najlepsze gospodarstwo agroturystyczne"), 2x konkursy związane z kulturą Pomorza  (operacja "Kociewie na co dzień i od święta …”, "XIII Turniej Kół Gospodyń Wiejskich Województwa Pomorskiego")
dot. poz. E75: 
projekty własne: 2 x konkurs kulinarny  (Pomorskie Święto Produktu tradycyjnego, Pomorska kuchnia regionalna – produkt tradycyjny – odkryjmy go na nowo!)
projekty Partnerów KSOW: 4x konkurs kulinarny  (operacja "II Festiwal Truskawek Kaszubskich", „Chmieleńskie Babki Wielkanocne”, „Smaki i produkty lokalne Ziemi Człuchowskiej”, „Powiatowe Święto Ziemniaka "Słupskie pokopki" ), 1 x konkurs w powożeniu koni  (operacja Kaszubska Jesień rolnicza….), 1x konkursy folklorystyczny  (operacja „Spotkania z dziedzictwem kulturowym Pomorza”), 1x konkurs dedykowany sołectwom (operacja „Aktywne Sołectwo” )
dot. poz. F74:                                                                                                                                                                                                                                                                                                                
 projekty własne:
1) kampania reklamowa w ramach wydarzenia DOFE:  w  prasie regionalnej (emisja 2 artykułów, nakład łączny 737 000 egz.),  w mediach społecznościowych (Facebook-kampania reklamowa związana z emisją 26 postów)
2) emisja artykułu prasowego dot. produktów tradycyjnych województwa pomorskiego zrealizowana w ramach projektu własnego ("Organizacja przedsięwzięć promujących fundusze unijne, agroturystykę, turystykę wiejską, produkt tradycyjny, lokalny, żywność wysokiej jakości") 
plan komunikacyjny 2016:  materiały promocyjne (300 szt.)                                                                                                                                                                                                         projekty partnerów KSOW:
1) kampania reklamowa w ramach operacji "Jarmark Rękodzieła Ziemi Człuchowskiej":  na portalu regionalnym (emisja ogłoszeń reklamowych na portalu regionalnym weekendfm.pl 30 emisji), w telewizji regionalnej (emisja plansz reklamowych w telewizji kablowej-30 emisji), w prasie (1 ogłoszenie, nakład gazety 2 900 egz.
dot. poz. F75:
projekty własne:
1) kampania reklamowa w ramach wydarzenia DOFE:  w prasie regionalnej (emisja 2 ogłoszeń, nakład łączny 832 000 egz.), w mediach społecznościowych (Facebook - kampania reklamowa związana z emisją 20 postów), materiały promocyjne (1000 szt. balonów, 1000 szt. chorągiewek, 1000 szt. wiatraczków); 
2) emisja artykułu prasowego w gazecie o zasięgu regionalnym dot.  relacji z zorganizowanego sympozjum (nakład 21 000 egz.);
3) kampania reklamowa Pomorskiego Święta Produktu Tradycyjnego w postaci reklamy elektronicznej, reklamy w mediach społecznościach (Facebook, 21 dni), materiały promocyjne (2000 szt. toreb papierowych, 100 szt. fartuchów, 200 szt. rękawic kuchennych, 200 szt. torby bawełniane, 100 szt. długopisy), plakaty 150 egz. 
plan komunikacyjny 2017: materiały promocyjne: 300 szt.,  powerbank, 1000 szt. teczek z gumką, 250 szt. toreb papierowych, 500 szt. worków materiałowych; 
projekty Partnerów KSOW:
1) kampania reklamowa operacji "Smaki i produkty lokalne Ziemi Człuchowskiej": reklama mobilna w Internecie (emisja ogłoszeń reklamowych 35,  ogłoszenie w prasie lokalnej - 1 ogłoszenie, nakład gazety 2 900 egz.)
2) kampania reklamowa operacji II Festiwal Truskawek Kaszubskich: plakaty 200 egz. 
3) kampania reklamowa operacji „Aktywizacja społeczna seniorów i osób do 35 roku życia”: plakaty 50 egz.
dot. poz. O74 z naciskiem na inne tematy, w tym: 
1) promocja Programu PROW  (DOFE)                                                                                                                                                                                                                                                                              2) promocja projektów relizowanych w ramach PO 2016-2017 ( "Jarmark Rękodzieła Ziemi Człuchowskiej")  
dot. poz. O75
1) promocja Programu</t>
  </si>
  <si>
    <r>
      <t>Komentarze</t>
    </r>
    <r>
      <rPr>
        <sz val="12"/>
        <rFont val="Calibri"/>
        <family val="2"/>
      </rPr>
      <t xml:space="preserve"> 
(</t>
    </r>
    <r>
      <rPr>
        <sz val="10"/>
        <rFont val="Calibri"/>
        <family val="2"/>
      </rPr>
      <t>proszę wskazać co jest rozumiane przez kategorię "inne")</t>
    </r>
  </si>
  <si>
    <t>dot. poz. E100 i F100:</t>
  </si>
  <si>
    <t>1) spotkania Pomorskiej Grupy Roboczej ds. KSOW (1x2016, 1x 2017)</t>
  </si>
  <si>
    <t>2) decyzje podejmowane  w obiegowym trybie (x6 w 2016, 8x w 2017)</t>
  </si>
  <si>
    <r>
      <t xml:space="preserve">dot. poz.  </t>
    </r>
    <r>
      <rPr>
        <b/>
        <sz val="10"/>
        <rFont val="Calibri"/>
        <family val="2"/>
        <scheme val="minor"/>
      </rPr>
      <t>M100</t>
    </r>
    <r>
      <rPr>
        <sz val="10"/>
        <rFont val="Calibri"/>
        <family val="2"/>
        <scheme val="minor"/>
      </rPr>
      <t xml:space="preserve"> i </t>
    </r>
    <r>
      <rPr>
        <b/>
        <sz val="10"/>
        <rFont val="Calibri"/>
        <family val="2"/>
        <scheme val="minor"/>
      </rPr>
      <t>M101</t>
    </r>
    <r>
      <rPr>
        <sz val="10"/>
        <rFont val="Calibri"/>
        <family val="2"/>
        <scheme val="minor"/>
      </rPr>
      <t xml:space="preserve"> z naciskiem na inne tematy, w tym:</t>
    </r>
  </si>
  <si>
    <t>1) dot. wdrażania  KSOW w ramach PROW 2014-2020</t>
  </si>
  <si>
    <r>
      <t xml:space="preserve">dot. poz.  D132  i D133:1)                                                                                                                                                                                                                                                                                       </t>
    </r>
    <r>
      <rPr>
        <sz val="10"/>
        <rFont val="Calibri"/>
        <family val="2"/>
      </rPr>
      <t xml:space="preserve"> ilość osób bioracych udział w spotkaniach PGR ds.KSOW lub wyrażajacych opinie w ramach przeprowadzonych trybach obiegowych</t>
    </r>
  </si>
  <si>
    <r>
      <rPr>
        <b/>
        <sz val="12"/>
        <rFont val="Calibri"/>
        <family val="2"/>
        <charset val="238"/>
        <scheme val="minor"/>
      </rPr>
      <t>Komentarze</t>
    </r>
    <r>
      <rPr>
        <sz val="10"/>
        <rFont val="Calibri"/>
        <family val="2"/>
        <charset val="238"/>
        <scheme val="minor"/>
      </rPr>
      <t xml:space="preserve"> 
(proszę wskazać co jest rozumiane przez kategorię "inne")</t>
    </r>
  </si>
  <si>
    <r>
      <t xml:space="preserve">Komentarze 
</t>
    </r>
    <r>
      <rPr>
        <sz val="10"/>
        <rFont val="Calibri"/>
        <family val="2"/>
      </rPr>
      <t>(proszę wskazać co jest rozumiane przez kategorię "inne")</t>
    </r>
  </si>
  <si>
    <t xml:space="preserve">dot. poz. E180:                                                                                                                                                                                                                                                                                                                                1) wizyta studyjna do woj.kujawsko-pomorskiego w ramach operacji "Aktywne sołectwa na start" dot. poz. E181:
1) wizyta studyjna do Międzynarodowego Rezerwatu Biosfery „Karpaty Wschodnie”  w ramach operacji  „Lokalne Grupy Działania na rzecz zrównoważonego rozwoju”
dot. poz. F180:                                                                                                                                                                                                                                                                                                                           1) wizyta studyjna do do woj. małopolskiego połączona z warsztatami (operacja: "Wyjazd studyjno-szkoleniowy "Dobre praktyki współpracy na rzecz wiejskiego produktu turystycznego na przykładzie województwa małopolskiego") 
dot. poz. O180:  
1) promocja kultury 
2)promocja Programu 
dot. poz. O181:
1) promocja Programu
dot. poz. H180:                                                                                                                                                                                                                                                                                                                 1) w przypadku 2 warsztatów wykazanych w poz. D180 nie było możliwości określenia "całkowitej liczby dni szkoleniowych" - warsztaty obejmowały 20 spotkań około godzinnych w różnych cyklach organizacyjnych (np.. 1, 2, 3… spotkania dziennie), zatem liczbę spotkań potraktowano jako liczbę dni (kwestia ta dotyczyła operacji  "Kociewie na co dzień i od święta…)
dot. poz. H181: 
1) w przypadku 1 warsztatów wykazanych w poz. D181 nie było możliwości określenia "całkowitej liczby dni szkoleniowych" - warsztaty obejmowały 14 spotkań w różnych cyklach organizacyjnych (np.. 1, 2…spotkania dziennie), zatem liczbę spotkań potraktowano jako liczbę dni (kwestia ta dotyczyła operacji  "Aktywni przez @- międzypokoleniowe podnoszenie kompetencji cyfrowych")
</t>
  </si>
  <si>
    <t>dot. poz. L191:</t>
  </si>
  <si>
    <t>1) beneficjenci i potencjalni beneficjenci PROW 2014-2020 (286)</t>
  </si>
  <si>
    <t>2) uczestnicy szkoleń/warsztatów /wyjazdów studyjnych realizowanych przez Partnerów KSOW  w ramach projektów PO 2016-2017 w tym m.in.. Rolnicy, przedisebiorcy z obszarów wiejskich, przedstwiciele podmiotów wspierajacych rozwój obszarów wiejskich, właściciele gospodarstw agroturystycnych, mieszkańcy obszarów wiejskich, soltysi i liderzy wiejscy, dzieci z obszarów wiejskich</t>
  </si>
  <si>
    <t>dot. poz. L 192:</t>
  </si>
  <si>
    <t xml:space="preserve">1) beneficjenci i potencjalni beneficjenci PROW 2014-2020 </t>
  </si>
  <si>
    <t>2) uczestnicy szkoleń/warsztatów  realizowanych przez Partnerów KSOW  w ramach projektów PO 2016-2017 w tym m.in. rolnicy, przedsiebiorcy z obszarów wiejskich, przedstwiciele podmiotów wspierajacych rozwój obszarów wiejskich, właściciele gospodarstw agroturystycnych, mieszkańcy obszarów wiejskich, sołtysi i liderzy wiejscy, dzieci z obszarów wiejskich, przedstwieciele jst.</t>
  </si>
  <si>
    <r>
      <rPr>
        <b/>
        <sz val="12"/>
        <rFont val="Calibri"/>
        <family val="2"/>
      </rPr>
      <t xml:space="preserve">Komentarze </t>
    </r>
    <r>
      <rPr>
        <sz val="10"/>
        <rFont val="Calibri"/>
        <family val="2"/>
      </rPr>
      <t>(proszę wskazać także inne kategorie)</t>
    </r>
  </si>
  <si>
    <r>
      <rPr>
        <b/>
        <sz val="11"/>
        <rFont val="Calibri"/>
        <family val="2"/>
        <scheme val="minor"/>
      </rPr>
      <t>poz. E213 i F213:</t>
    </r>
    <r>
      <rPr>
        <sz val="11"/>
        <rFont val="Calibri"/>
        <family val="2"/>
        <scheme val="minor"/>
      </rPr>
      <t xml:space="preserve"> łączna suma wydatków poniesionych w ramach realizacji planów operacycjnych (w tym również planów komunikacycjnych) odpowiednio dla 2016 roku i 2017  roku</t>
    </r>
  </si>
  <si>
    <t>wskazana pozycja obejmuje tylko część kosztów poniesionych na działania promocyjne (tylko te możliwe do zidentyfikowania), pozstała część kosztów została wykazana w poz. F214 (koszty dot. w ramach tab. 1)</t>
  </si>
  <si>
    <t>[Jednostaka Regionalna KSOW w województwie śląskim]</t>
  </si>
  <si>
    <r>
      <rPr>
        <b/>
        <u/>
        <sz val="12"/>
        <color rgb="FF000000"/>
        <rFont val="Calibri"/>
        <family val="2"/>
        <charset val="238"/>
      </rPr>
      <t xml:space="preserve">Cel i kontekst Wspólnej </t>
    </r>
    <r>
      <rPr>
        <b/>
        <u/>
        <sz val="12"/>
        <color rgb="FF000000"/>
        <rFont val="Calibri"/>
        <family val="2"/>
        <charset val="238"/>
      </rPr>
      <t>Statystyki Sieci</t>
    </r>
    <r>
      <rPr>
        <b/>
        <u/>
        <sz val="12"/>
        <color rgb="FF000000"/>
        <rFont val="Calibri"/>
        <family val="2"/>
        <charset val="238"/>
      </rPr>
      <t xml:space="preserve">
</t>
    </r>
    <r>
      <rPr>
        <sz val="12"/>
        <color rgb="FF000000"/>
        <rFont val="Calibri"/>
        <family val="2"/>
        <charset val="238"/>
      </rPr>
      <t xml:space="preserve">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rgb="FF000000"/>
        <rFont val="Calibri"/>
        <family val="2"/>
        <charset val="238"/>
      </rPr>
      <t xml:space="preserve">Powiązania między Wspólną </t>
    </r>
    <r>
      <rPr>
        <b/>
        <u/>
        <sz val="12"/>
        <color rgb="FF000000"/>
        <rFont val="Calibri"/>
        <family val="2"/>
        <charset val="238"/>
      </rPr>
      <t xml:space="preserve">Statystyką Sieci i </t>
    </r>
    <r>
      <rPr>
        <b/>
        <u/>
        <sz val="12"/>
        <color rgb="FF000000"/>
        <rFont val="Calibri"/>
        <family val="2"/>
        <charset val="238"/>
      </rPr>
      <t xml:space="preserve">obligatoryjnymi wskaźnikami </t>
    </r>
    <r>
      <rPr>
        <b/>
        <u/>
        <sz val="12"/>
        <color rgb="FF000000"/>
        <rFont val="Calibri"/>
        <family val="2"/>
        <charset val="238"/>
      </rPr>
      <t xml:space="preserve">monitorowania określonymi w </t>
    </r>
    <r>
      <rPr>
        <b/>
        <u/>
        <sz val="12"/>
        <color rgb="FF000000"/>
        <rFont val="Calibri"/>
        <family val="2"/>
        <charset val="238"/>
      </rPr>
      <t xml:space="preserve">rozporządzeniu wykonawczym </t>
    </r>
    <r>
      <rPr>
        <b/>
        <u/>
        <sz val="12"/>
        <color rgb="FF000000"/>
        <rFont val="Calibri"/>
        <family val="2"/>
        <charset val="238"/>
      </rPr>
      <t>KE (UE) nr 808/2014</t>
    </r>
    <r>
      <rPr>
        <b/>
        <u/>
        <sz val="12"/>
        <color rgb="FF000000"/>
        <rFont val="Calibri"/>
        <family val="2"/>
        <charset val="238"/>
      </rPr>
      <t xml:space="preserve">
</t>
    </r>
    <r>
      <rPr>
        <sz val="12"/>
        <color rgb="FF000000"/>
        <rFont val="Calibri"/>
        <family val="2"/>
        <charset val="238"/>
      </rPr>
      <t xml:space="preserve">Celem Wspólnej Statystyki Sieci jest ułatwienie zbierania danych do obligatoryjnych wskaźników. Wszystkie podmioty zaangażowane w realizację zadań sieci wypełniają tylko arkusz </t>
    </r>
    <r>
      <rPr>
        <i/>
        <sz val="12"/>
        <color rgb="FF000000"/>
        <rFont val="Calibri"/>
        <family val="2"/>
        <charset val="238"/>
      </rPr>
      <t>"Wspólna Statystyka Sieci".</t>
    </r>
    <r>
      <rPr>
        <i/>
        <sz val="12"/>
        <color rgb="FF000000"/>
        <rFont val="Calibri"/>
        <family val="2"/>
        <charset val="238"/>
      </rPr>
      <t xml:space="preserve">
</t>
    </r>
    <r>
      <rPr>
        <sz val="12"/>
        <color rgb="FF000000"/>
        <rFont val="Calibri"/>
        <family val="2"/>
        <charset val="238"/>
      </rPr>
      <t xml:space="preserve">
</t>
    </r>
    <r>
      <rPr>
        <b/>
        <u/>
        <sz val="12"/>
        <color rgb="FF000000"/>
        <rFont val="Calibri"/>
        <family val="2"/>
        <charset val="238"/>
      </rPr>
      <t xml:space="preserve">Definicje i wytyczne do </t>
    </r>
    <r>
      <rPr>
        <b/>
        <u/>
        <sz val="12"/>
        <color rgb="FF000000"/>
        <rFont val="Calibri"/>
        <family val="2"/>
        <charset val="238"/>
      </rPr>
      <t>poszczególnych wskaźników</t>
    </r>
    <r>
      <rPr>
        <b/>
        <u/>
        <sz val="12"/>
        <color rgb="FF000000"/>
        <rFont val="Calibri"/>
        <family val="2"/>
        <charset val="238"/>
      </rPr>
      <t xml:space="preserve">
</t>
    </r>
    <r>
      <rPr>
        <sz val="12"/>
        <color rgb="FF000000"/>
        <rFont val="Calibri"/>
        <family val="2"/>
        <charset val="238"/>
      </rPr>
      <t>W opisie poszczególnych wskaźników/mierników znajdują się wytyczne dla każdego wskaźnika. W sytuacji, kiedy wytyczne nie są jasne albo mierniki/wskaźniki nie są możliwe do uzupełnienia - prosimy wypełnić rubrykę "K</t>
    </r>
    <r>
      <rPr>
        <i/>
        <sz val="12"/>
        <color rgb="FF000000"/>
        <rFont val="Calibri"/>
        <family val="2"/>
        <charset val="238"/>
      </rPr>
      <t>omentarze"</t>
    </r>
    <r>
      <rPr>
        <sz val="12"/>
        <color rgb="FF000000"/>
        <rFont val="Calibri"/>
        <family val="2"/>
        <charset val="238"/>
      </rPr>
      <t xml:space="preserve">.
 Zakres tematyczny został powiązany z priorytetami PROW 2014-2020.
</t>
    </r>
    <r>
      <rPr>
        <b/>
        <u/>
        <sz val="12"/>
        <color rgb="FF000000"/>
        <rFont val="Calibri"/>
        <family val="2"/>
        <charset val="238"/>
      </rPr>
      <t>Udział w budżecie</t>
    </r>
    <r>
      <rPr>
        <b/>
        <u/>
        <sz val="12"/>
        <color rgb="FF000000"/>
        <rFont val="Calibri"/>
        <family val="2"/>
        <charset val="238"/>
      </rPr>
      <t xml:space="preserve">
</t>
    </r>
    <r>
      <rPr>
        <sz val="12"/>
        <color rgb="FF000000"/>
        <rFont val="Calibri"/>
        <family val="2"/>
        <charset val="238"/>
      </rPr>
      <t>Szacowany podział budżetu (Tabela 8) ma na celu dostarczenie informacji jak proporcjonalnie środki</t>
    </r>
    <r>
      <rPr>
        <b/>
        <sz val="12"/>
        <color rgb="FF000000"/>
        <rFont val="Calibri"/>
        <family val="2"/>
        <charset val="238"/>
      </rPr>
      <t xml:space="preserve"> </t>
    </r>
    <r>
      <rPr>
        <sz val="12"/>
        <color rgb="FF000000"/>
        <rFont val="Calibri"/>
        <family val="2"/>
        <charset val="238"/>
      </rPr>
      <t xml:space="preserve">rocznego budżetu sieci zostały przeznaczone na odpowiednie działania objęte wskaźnikami. Proszę podaj budzet dla poszczególnych kategorii i wskaż trudności w komentarzu.
</t>
    </r>
  </si>
  <si>
    <r>
      <t>Komentarze</t>
    </r>
    <r>
      <rPr>
        <sz val="10"/>
        <color rgb="FF000000"/>
        <rFont val="Calibri"/>
        <family val="2"/>
        <charset val="238"/>
      </rPr>
      <t xml:space="preserve">
(proszę wskazać co jest rozumiane </t>
    </r>
    <r>
      <rPr>
        <sz val="10"/>
        <color rgb="FF000000"/>
        <rFont val="Calibri"/>
        <family val="2"/>
        <charset val="238"/>
      </rPr>
      <t>przez kategorię "inne")</t>
    </r>
  </si>
  <si>
    <t>z naciskiem na LEADER/RLKS i LGD (włączając współpracę) (P6)</t>
  </si>
  <si>
    <r>
      <rPr>
        <u/>
        <sz val="10"/>
        <rFont val="Calibri"/>
        <family val="2"/>
        <charset val="238"/>
      </rPr>
      <t>1. ROK  2015:</t>
    </r>
    <r>
      <rPr>
        <sz val="10"/>
        <rFont val="Calibri"/>
        <family val="2"/>
        <charset val="238"/>
      </rPr>
      <t xml:space="preserve"> Wydarzenia wskazane w kolumnie Inne lub mieszane dotyczą: Priorytetów 6 oraz Priorytetu 1.                                                                                                                               </t>
    </r>
    <r>
      <rPr>
        <u/>
        <sz val="10"/>
        <rFont val="Calibri"/>
        <family val="2"/>
        <charset val="238"/>
      </rPr>
      <t>2. ROK 2016:</t>
    </r>
    <r>
      <rPr>
        <sz val="10"/>
        <rFont val="Calibri"/>
        <family val="2"/>
        <charset val="238"/>
      </rPr>
      <t xml:space="preserve"> W kolumnie Inne lub mieszane uwzględniono operacja kładące nacisk na szeroko rozumiane zachowanie i ochronę dziedzictwa kulturowego (P6) a także takie operacje  jak konkurs fotograficzny, konkurs "Zadbajmy o wodę na wsi", targi AGROTRAVEL, targi Atrakcje Regionów oraz Forum Sołtysów Województwa Śląskiego.                                                                                                                                                                                                                                                                                                                                      </t>
    </r>
    <r>
      <rPr>
        <u/>
        <sz val="10"/>
        <rFont val="Calibri"/>
        <family val="2"/>
        <charset val="238"/>
      </rPr>
      <t xml:space="preserve">Wydarzenia krajowe: </t>
    </r>
    <r>
      <rPr>
        <sz val="10"/>
        <rFont val="Calibri"/>
        <family val="2"/>
        <charset val="238"/>
      </rPr>
      <t xml:space="preserve">
- Udział w Targach Turystyki Weekendowej "Atrakcje Regionów" – 40 000 osób,
- Dożynki Jasnogórskie połączone z Jubileuszem 150-lecia Kół Gospodyń Wiejskich – 50 000 osób.
</t>
    </r>
    <r>
      <rPr>
        <u/>
        <sz val="10"/>
        <rFont val="Calibri"/>
        <family val="2"/>
        <charset val="238"/>
      </rPr>
      <t xml:space="preserve">Wydarzenia międzynarodowe: </t>
    </r>
    <r>
      <rPr>
        <sz val="1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t>
    </r>
    <r>
      <rPr>
        <u/>
        <sz val="10"/>
        <rFont val="Calibri"/>
        <family val="2"/>
        <charset val="238"/>
      </rPr>
      <t>3. ROK 2017:</t>
    </r>
    <r>
      <rPr>
        <sz val="10"/>
        <rFont val="Calibri"/>
        <family val="2"/>
        <charset val="238"/>
      </rPr>
      <t xml:space="preserve">
Wydarzenia krajowe:                                                                                                                                                                                                                                                                                                                                                                                                                                       - Udział w Targach Turystyki Weekendowej ATRAKCJE REGIONÓW - 15 000 osób                                                                                                                                                                                                                - Udział w XXVII Gliwickim Kiermaszu Żywności Ekologicznej i Tradycyjnej - Natura, zdrowie, kultura - 2 000 osób;                                                                                                                                 Wydarzenia międzynarodowe:                                                                                                                                                                                                                                                                                                                     - Festiwal kultury Polskiej i Żydowskiej "XV Święto Ciulimu-Czulentu" - 12 000 osób.                                                                                                                                                                                       Wydarzenia lokalne/regionalne:   15-lecie odnowy wsi w województwie śląskim - doświadczenia i perspektywy, Mieszkańcy aktywnie w loklnej inicjatywie. Dożynki gminne, Babcia gotuje wnuczka smakuje - festiwal kuchni, Jurajskie święto plonów - promocja kultury i turystyki, Rolniczy handel detaliczy szansą dla małych gospodarstw rolnych, Forum Sołtysów Województwa Śląskiego, Konferencja nt. stanu wdrażania PROW                                                                                                                                                                                                                                                                     
</t>
    </r>
  </si>
  <si>
    <r>
      <rPr>
        <u/>
        <sz val="10"/>
        <color rgb="FF000000"/>
        <rFont val="Calibri"/>
        <family val="2"/>
        <charset val="238"/>
      </rPr>
      <t>1. ROK 2015</t>
    </r>
    <r>
      <rPr>
        <sz val="10"/>
        <color rgb="FF000000"/>
        <rFont val="Calibri"/>
        <family val="2"/>
        <charset val="238"/>
      </rPr>
      <t xml:space="preserve">:Liczbę uczestników określono na podstawie posiadanych list obecności (dot. spartakiady-210 osób, konferencji-274 osób) oraz na podstawie informacji uzyskanych od Partnerów KSOW organizujących dane wydarzenie (dot. m.in. imprez plenerowych-500 osób, które są imprezami o charakterze otwartym  a liczba odwiedzających jest szacunkowa).                                                                                                                                                                                                                                                                                                                                                                                                                    </t>
    </r>
    <r>
      <rPr>
        <u/>
        <sz val="10"/>
        <color rgb="FF000000"/>
        <rFont val="Calibri"/>
        <family val="2"/>
        <charset val="238"/>
      </rPr>
      <t xml:space="preserve">2. ROK 2016: </t>
    </r>
    <r>
      <rPr>
        <sz val="10"/>
        <color rgb="FF000000"/>
        <rFont val="Calibri"/>
        <family val="2"/>
        <charset val="238"/>
      </rPr>
      <t xml:space="preserve">Liczbę uczestników określono na podstawie posiadanych list obecności (dot. spotkania-60 osób, konferencji- 378 osób, spartakiady-200 osób) oraz na podstawie informacji uzyskanych od Partnerów KSOW organizujących dane wydarzenie (dot. m.in. imprez plenerowych-20 962 osób, przeglądów-450 osób, targów-60 000 osób, dożynek-50 000 osób, które są imprezami o charakterze otwartym  a liczba odwiedzających jest szacunkowa).                                                                                                                                                                                                                </t>
    </r>
    <r>
      <rPr>
        <u/>
        <sz val="10"/>
        <color rgb="FF000000"/>
        <rFont val="Calibri"/>
        <family val="2"/>
        <charset val="238"/>
      </rPr>
      <t xml:space="preserve">                                                                                                                                   Wydarzenia krajowe: </t>
    </r>
    <r>
      <rPr>
        <sz val="10"/>
        <color rgb="FF000000"/>
        <rFont val="Calibri"/>
        <family val="2"/>
        <charset val="238"/>
      </rPr>
      <t xml:space="preserve">
- Udział w Targach Turystyki Weekendowej "Atrakcje Regionów" – 40 000 osób,
- Dożynki Jasnogórskie połączone z Jubileuszem 150-lecia Kół Gospodyń Wiejskich – 50 000 osób.
</t>
    </r>
    <r>
      <rPr>
        <u/>
        <sz val="10"/>
        <color rgb="FF000000"/>
        <rFont val="Calibri"/>
        <family val="2"/>
        <charset val="238"/>
      </rPr>
      <t xml:space="preserve">Wydarzenia międzynarodowe: </t>
    </r>
    <r>
      <rPr>
        <sz val="10"/>
        <color rgb="FF00000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t>
    </r>
    <r>
      <rPr>
        <u/>
        <sz val="10"/>
        <color rgb="FF000000"/>
        <rFont val="Calibri"/>
        <family val="2"/>
        <charset val="238"/>
      </rPr>
      <t>3. ROK 2017:</t>
    </r>
    <r>
      <rPr>
        <sz val="10"/>
        <color rgb="FF000000"/>
        <rFont val="Calibri"/>
        <family val="2"/>
        <charset val="238"/>
      </rPr>
      <t xml:space="preserve">
Wydarzenia krajowe:                                                                                                                                                                                                                                                                                                                                                                                                                                       - Udział w Targach Turystyki Weekendowej ATRAKCJE REGIONÓW - 15 000 osób (Dane dotyczące liczby osób wizytujących targi pochodzi ze strony organizatora www.atrakcje-regionow.pl).                                                                                                                                                                                                                                                                                                                           -  Udział w XXVII Gliwickim Kiermaszu Żywności Ekologicznej i Tradycyjnej - Natura, zdrowie, kultura - 2 000 osób;                                                                                                                                 Wydarzenia międzynarodowe:                                                                                                                                                                                                                                                                                                                     - Festiwal kultury Polskiej i Żydowskiej "XV Święto Ciulimu-Czulentu" - 12 000 osób,                                                                                                                                                                                                Wydarzenia o zasięgu lokalnym/regionalnym - Liczbę określono na podstawie list obecności (dot. konferencji/forum - 560 osób) oraz na podstawie danych otzrymanych od Partnera KSOW organizującego dane wydarzenie ( dot. impreza plenerowa - 3 290 osób)                         
                              </t>
    </r>
  </si>
  <si>
    <r>
      <rPr>
        <u/>
        <sz val="10"/>
        <color rgb="FF000000"/>
        <rFont val="Calibri"/>
        <family val="2"/>
        <charset val="238"/>
      </rPr>
      <t xml:space="preserve">1. ROK 2015: </t>
    </r>
    <r>
      <rPr>
        <sz val="10"/>
        <color rgb="FF000000"/>
        <rFont val="Calibri"/>
        <family val="2"/>
        <charset val="238"/>
      </rPr>
      <t xml:space="preserve">Dane dotyczą strony internetowej KSOW.                                                                                                                                                                                                                                                                                                                                                                              </t>
    </r>
    <r>
      <rPr>
        <u/>
        <sz val="10"/>
        <color rgb="FF000000"/>
        <rFont val="Calibri"/>
        <family val="2"/>
        <charset val="238"/>
      </rPr>
      <t>2. ROK 2016:</t>
    </r>
    <r>
      <rPr>
        <sz val="10"/>
        <color rgb="FF000000"/>
        <rFont val="Calibri"/>
        <family val="2"/>
        <charset val="238"/>
      </rPr>
      <t xml:space="preserve"> Dane wskazane w niniejszej tabeli dotyczą statystyki strony KSOW województwa śląskiego administrowanej przez Jednostkę Centralną KSOW oraz statystyki strony PROW 2014-2020. Dane statystyczne strony PROW 2014-2020 dotyczą okresu 23.05 - 31.12.2016 r. z uwagi na to, że do tego czasu strona była w budowie i nie było możliwości zebrania tych danych.                                                                                                                                              </t>
    </r>
    <r>
      <rPr>
        <u/>
        <sz val="10"/>
        <color rgb="FF000000"/>
        <rFont val="Calibri"/>
        <family val="2"/>
        <charset val="238"/>
      </rPr>
      <t>3. ROK 2017:</t>
    </r>
    <r>
      <rPr>
        <sz val="10"/>
        <color rgb="FF000000"/>
        <rFont val="Calibri"/>
        <family val="2"/>
        <charset val="238"/>
      </rPr>
      <t xml:space="preserve"> Dane wskazane w niniejszej tabeli dotyczą statystyki strony KSOW województwa śląskiego administrowanej przez Jednostkę Centralną KSOW oraz statystyki strony PROW 2014-2020.</t>
    </r>
  </si>
  <si>
    <r>
      <rPr>
        <u/>
        <sz val="10"/>
        <color rgb="FF000000"/>
        <rFont val="Calibri"/>
        <family val="2"/>
        <charset val="238"/>
      </rPr>
      <t xml:space="preserve">1. ROK 2015: </t>
    </r>
    <r>
      <rPr>
        <sz val="10"/>
        <color rgb="FF000000"/>
        <rFont val="Calibri"/>
        <family val="2"/>
        <charset val="238"/>
      </rPr>
      <t>Publikacje wykazane w kolumnie</t>
    </r>
    <r>
      <rPr>
        <i/>
        <sz val="10"/>
        <color rgb="FF000000"/>
        <rFont val="Calibri"/>
        <family val="2"/>
        <charset val="238"/>
      </rPr>
      <t xml:space="preserve"> Inne lub mieszane</t>
    </r>
    <r>
      <rPr>
        <sz val="10"/>
        <color rgb="FF000000"/>
        <rFont val="Calibri"/>
        <family val="2"/>
        <charset val="238"/>
      </rPr>
      <t xml:space="preserve">: 1. Książka kucharska z potrawami lokalnymi, 2.  Folder promujący lokalną przedsiębiorczość 3.  Folder promocyjny promujący konferencję pn. "Śląska wieś - rozwój przedsiębiorczości" oraz Gminy Strumień.                                                                                                                                                                                         </t>
    </r>
    <r>
      <rPr>
        <u/>
        <sz val="10"/>
        <color rgb="FF000000"/>
        <rFont val="Calibri"/>
        <family val="2"/>
        <charset val="238"/>
      </rPr>
      <t>2. ROK 2016:</t>
    </r>
    <r>
      <rPr>
        <sz val="10"/>
        <color rgb="FF000000"/>
        <rFont val="Calibri"/>
        <family val="2"/>
        <charset val="238"/>
      </rPr>
      <t xml:space="preserve"> W kolumnie</t>
    </r>
    <r>
      <rPr>
        <i/>
        <sz val="10"/>
        <color rgb="FF000000"/>
        <rFont val="Calibri"/>
        <family val="2"/>
        <charset val="238"/>
      </rPr>
      <t xml:space="preserve"> Inne lub mieszane</t>
    </r>
    <r>
      <rPr>
        <sz val="10"/>
        <color rgb="FF000000"/>
        <rFont val="Calibri"/>
        <family val="2"/>
        <charset val="238"/>
      </rPr>
      <t xml:space="preserve"> uwzględniono następujące publikacje: biuletyn "Wyniki 2015. Porejestrowe Doświadczalnictwo Odmianowe w Województwie Śląskim w roku 2015";  broszurę informacyjną "Lista Zalecanych Odmian do upraw w województwie śląskim na rok 2016"; publikację książkową pt. ”Gmina Gorzyce - MIEJSCA LUDZIE WYDARZENIA”, publikację poplenerową pt. "Gmina Świerklany w malarstwie" oraz publikację pt.  "Kulinarne tradycje w Gminie świerklany".                                                                                                                                                                      </t>
    </r>
    <r>
      <rPr>
        <u/>
        <sz val="10"/>
        <color rgb="FF000000"/>
        <rFont val="Calibri"/>
        <family val="2"/>
        <charset val="238"/>
      </rPr>
      <t xml:space="preserve">3. ROK 2017: </t>
    </r>
    <r>
      <rPr>
        <sz val="10"/>
        <color rgb="FF000000"/>
        <rFont val="Calibri"/>
        <family val="2"/>
        <charset val="238"/>
      </rPr>
      <t xml:space="preserve">W kolumnie Inne lub mieszane uwzględniono folder informacyjny "Być przedsiębiorczym na śląskiej wsi". </t>
    </r>
  </si>
  <si>
    <t>Liczba konkursów/ kategorii konkursowych</t>
  </si>
  <si>
    <r>
      <t>Liczba innych narzędzi komunikacyjnych - proszę określić jakich w "</t>
    </r>
    <r>
      <rPr>
        <i/>
        <sz val="10"/>
        <color rgb="FF000000"/>
        <rFont val="Calibri"/>
        <family val="2"/>
        <charset val="238"/>
      </rPr>
      <t>Komentarzu"</t>
    </r>
  </si>
  <si>
    <r>
      <rPr>
        <u/>
        <sz val="10"/>
        <color rgb="FF000000"/>
        <rFont val="Calibri"/>
        <family val="2"/>
        <charset val="238"/>
      </rPr>
      <t>1. ROK 2015</t>
    </r>
    <r>
      <rPr>
        <sz val="10"/>
        <color rgb="FF000000"/>
        <rFont val="Calibri"/>
        <family val="2"/>
        <charset val="238"/>
      </rPr>
      <t>: W</t>
    </r>
    <r>
      <rPr>
        <i/>
        <sz val="10"/>
        <color rgb="FF000000"/>
        <rFont val="Calibri"/>
        <family val="2"/>
        <charset val="238"/>
      </rPr>
      <t xml:space="preserve"> </t>
    </r>
    <r>
      <rPr>
        <sz val="10"/>
        <color rgb="FF000000"/>
        <rFont val="Calibri"/>
        <family val="2"/>
        <charset val="238"/>
      </rPr>
      <t>kolumnie</t>
    </r>
    <r>
      <rPr>
        <i/>
        <sz val="10"/>
        <color rgb="FF000000"/>
        <rFont val="Calibri"/>
        <family val="2"/>
        <charset val="238"/>
      </rPr>
      <t xml:space="preserve"> Liczba innych narzędzi komunikacyjnych</t>
    </r>
    <r>
      <rPr>
        <sz val="10"/>
        <color rgb="FF000000"/>
        <rFont val="Calibri"/>
        <family val="2"/>
        <charset val="238"/>
      </rPr>
      <t xml:space="preserve"> oraz w </t>
    </r>
    <r>
      <rPr>
        <i/>
        <sz val="10"/>
        <color rgb="FF000000"/>
        <rFont val="Calibri"/>
        <family val="2"/>
        <charset val="238"/>
      </rPr>
      <t>kolumnie Inne lub mieszane</t>
    </r>
    <r>
      <rPr>
        <sz val="10"/>
        <color rgb="FF000000"/>
        <rFont val="Calibri"/>
        <family val="2"/>
        <charset val="238"/>
      </rPr>
      <t xml:space="preserve"> wykazano informację radiową dotycząca operacji realizowanej w ramach Planu operacyjnego 2014-2015 KSOW pn. Mszańskie smaki jesieni oraz 8 ogłoszeń prasowych (3 ogłoszenia dotyczące realizacji operacji przez Gminę Strumień oraz 5 ogłoszeń dotyczących działań PROW 2014-2020.                                                                                                                                                                                                                                                                                                                                                                                                                                                                      </t>
    </r>
    <r>
      <rPr>
        <u/>
        <sz val="10"/>
        <color rgb="FF000000"/>
        <rFont val="Calibri"/>
        <family val="2"/>
        <charset val="238"/>
      </rPr>
      <t>2. ROK 2016:</t>
    </r>
    <r>
      <rPr>
        <sz val="10"/>
        <color rgb="FF000000"/>
        <rFont val="Calibri"/>
        <family val="2"/>
        <charset val="238"/>
      </rPr>
      <t xml:space="preserve"> W kolumnie</t>
    </r>
    <r>
      <rPr>
        <i/>
        <sz val="10"/>
        <color rgb="FF000000"/>
        <rFont val="Calibri"/>
        <family val="2"/>
        <charset val="238"/>
      </rPr>
      <t xml:space="preserve"> Liczba innych narzędzi komunikacyjnych</t>
    </r>
    <r>
      <rPr>
        <sz val="10"/>
        <color rgb="FF000000"/>
        <rFont val="Calibri"/>
        <family val="2"/>
        <charset val="238"/>
      </rPr>
      <t xml:space="preserve"> wykazano informację radiową dotycząca operacji realizowanej w ramach Planu operacyjnego 2016-2017 KSOW pn. Barwy kultury i mozaika tradycji - promocja zrównoważonego rozwoju w Gminie Świerklany.                                                                                                                                                                                                         W kolumnie </t>
    </r>
    <r>
      <rPr>
        <i/>
        <sz val="10"/>
        <color rgb="FF000000"/>
        <rFont val="Calibri"/>
        <family val="2"/>
        <charset val="238"/>
      </rPr>
      <t>Inne lub mieszane</t>
    </r>
    <r>
      <rPr>
        <sz val="10"/>
        <color rgb="FF000000"/>
        <rFont val="Calibri"/>
        <family val="2"/>
        <charset val="238"/>
      </rPr>
      <t xml:space="preserve"> wykazano informację radiową dotycząca operacji pn. Barwy kultury i mozaika tradycji - promocja zrównoważonego rozwoju w Gminie Świerklany oraz dwa konkursy zorganizowane/współorganizowane przez JR KSOW. Oba konkursy zakończyły się uroczystym podsumowaniem w postaci konferencji dlatego w tabeli 1. Wydarzenia wykazano 2 konferencje).                                                                                                 </t>
    </r>
    <r>
      <rPr>
        <u/>
        <sz val="10"/>
        <color rgb="FF000000"/>
        <rFont val="Calibri"/>
        <family val="2"/>
        <charset val="238"/>
      </rPr>
      <t>3. ROK 2017:</t>
    </r>
    <r>
      <rPr>
        <sz val="10"/>
        <color rgb="FF000000"/>
        <rFont val="Calibri"/>
        <family val="2"/>
        <charset val="238"/>
      </rPr>
      <t xml:space="preserve"> W kolumnie Liczba innych narzędzi komunikacyjnych wykazano reportaż fotograficzny dotycząca operacji realizowanej w ramach Planu operacyjnego KSOW  2016-2017 pn. "Być przedsiębiorczym na śląskiej wsi". W kolumnie Inne lub mieszane wykazano w/w reportaż fotograficzny.</t>
    </r>
  </si>
  <si>
    <t>3.1 Liczba zebranych i upowszechnionych przykładów dobrej praktyki</t>
  </si>
  <si>
    <r>
      <t>Komentarze</t>
    </r>
    <r>
      <rPr>
        <b/>
        <sz val="10"/>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</si>
  <si>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t>Liczba dobrych praktyk</t>
  </si>
  <si>
    <t>Z naciskiem na transfer wiedzy i innowacyjność (P1)</t>
  </si>
  <si>
    <r>
      <rPr>
        <u/>
        <sz val="10"/>
        <rFont val="Calibri"/>
        <family val="2"/>
        <charset val="238"/>
      </rPr>
      <t>1. ROK 2016:</t>
    </r>
    <r>
      <rPr>
        <sz val="10"/>
        <rFont val="Calibri"/>
        <family val="2"/>
        <charset val="238"/>
      </rPr>
      <t xml:space="preserve"> W kolumnie</t>
    </r>
    <r>
      <rPr>
        <i/>
        <sz val="10"/>
        <rFont val="Calibri"/>
        <family val="2"/>
        <charset val="238"/>
      </rPr>
      <t xml:space="preserve"> Inne tematy lub tematy mieszane uwzględniono następujące</t>
    </r>
    <r>
      <rPr>
        <sz val="10"/>
        <rFont val="Calibri"/>
        <family val="2"/>
        <charset val="238"/>
      </rPr>
      <t xml:space="preserve"> projekty: spotkania pt. "Fundusze unijne szansą rozwoju obszarów wiejskich", "Rolnictwo ekologiczne szansą dla młodych rolników" – organizacja seminarium i prezentacja przykładów dobrych praktyk w gospodarstwach oraz wyjazd studyjny do Szkocji.                                                                                                                                                                                                                                                                                                                                                                                                                               </t>
    </r>
    <r>
      <rPr>
        <u/>
        <sz val="10"/>
        <rFont val="Calibri"/>
        <family val="2"/>
        <charset val="238"/>
      </rPr>
      <t xml:space="preserve">W/w operacje zostały zgłoszone do </t>
    </r>
    <r>
      <rPr>
        <i/>
        <u/>
        <sz val="10"/>
        <rFont val="Calibri"/>
        <family val="2"/>
        <charset val="238"/>
      </rPr>
      <t>Bazy dobrych praktyk.</t>
    </r>
    <r>
      <rPr>
        <sz val="10"/>
        <rFont val="Calibri"/>
        <family val="2"/>
        <charset val="238"/>
      </rPr>
      <t xml:space="preserve">                                                                                                                                                                         </t>
    </r>
    <r>
      <rPr>
        <i/>
        <u/>
        <sz val="10"/>
        <rFont val="Calibri"/>
        <family val="2"/>
        <charset val="238"/>
      </rPr>
      <t xml:space="preserve">2. </t>
    </r>
    <r>
      <rPr>
        <u/>
        <sz val="10"/>
        <rFont val="Calibri"/>
        <family val="2"/>
        <charset val="238"/>
      </rPr>
      <t xml:space="preserve">ROK 2017:  </t>
    </r>
    <r>
      <rPr>
        <sz val="10"/>
        <rFont val="Calibri"/>
        <family val="2"/>
        <charset val="238"/>
      </rPr>
      <t xml:space="preserve">Uwzględniono  szkolenie "Wpływ funduszy unijnych na rozwój obszarów wiejskich" oraz wyjazd studyjny krajowy  </t>
    </r>
  </si>
  <si>
    <r>
      <t>Komentarze</t>
    </r>
    <r>
      <rPr>
        <sz val="12"/>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</si>
  <si>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r>
      <rPr>
        <u/>
        <sz val="10"/>
        <rFont val="Calibri"/>
        <family val="2"/>
        <charset val="238"/>
      </rPr>
      <t>1. ROK 2015:</t>
    </r>
    <r>
      <rPr>
        <sz val="10"/>
        <rFont val="Calibri"/>
        <family val="2"/>
        <charset val="238"/>
      </rPr>
      <t xml:space="preserve"> W kolumnie </t>
    </r>
    <r>
      <rPr>
        <i/>
        <sz val="10"/>
        <rFont val="Calibri"/>
        <family val="2"/>
        <charset val="238"/>
      </rPr>
      <t>liczba grup tematycznych</t>
    </r>
    <r>
      <rPr>
        <sz val="10"/>
        <rFont val="Calibri"/>
        <family val="2"/>
        <charset val="238"/>
      </rPr>
      <t xml:space="preserve"> wskazano Wojewódzką Grupę Roboczą ds. KSOW. Natomiast w kolumnie </t>
    </r>
    <r>
      <rPr>
        <i/>
        <sz val="10"/>
        <rFont val="Calibri"/>
        <family val="2"/>
        <charset val="238"/>
      </rPr>
      <t>liczba spotkań grup tematycznych</t>
    </r>
    <r>
      <rPr>
        <sz val="10"/>
        <rFont val="Calibri"/>
        <family val="2"/>
        <charset val="238"/>
      </rPr>
      <t xml:space="preserve"> uwzględniono liczbę podjętych przez WGR uchwał z uwagi na to, że regulamin prac WGR ds. KSOW pozwala na podejmowanie uchwał  drogą mailową, a do dnia 31 grudnia 2015 r.  nie zaistniała konieczności zorganizowania spotkania „stacjonarnego”.                                                                   
</t>
    </r>
    <r>
      <rPr>
        <u/>
        <sz val="10"/>
        <rFont val="Calibri"/>
        <family val="2"/>
        <charset val="238"/>
      </rPr>
      <t>2. ROK 2016:</t>
    </r>
    <r>
      <rPr>
        <sz val="10"/>
        <rFont val="Calibri"/>
        <family val="2"/>
        <charset val="238"/>
      </rPr>
      <t xml:space="preserve"> W kolumnie </t>
    </r>
    <r>
      <rPr>
        <i/>
        <sz val="10"/>
        <rFont val="Calibri"/>
        <family val="2"/>
        <charset val="238"/>
      </rPr>
      <t>liczba grup tematycznych</t>
    </r>
    <r>
      <rPr>
        <sz val="10"/>
        <rFont val="Calibri"/>
        <family val="2"/>
        <charset val="238"/>
      </rPr>
      <t xml:space="preserve"> wskazano Wojewódzką Grupę Roboczą ds. KSOW. Natomiast w kolumnie </t>
    </r>
    <r>
      <rPr>
        <i/>
        <sz val="10"/>
        <rFont val="Calibri"/>
        <family val="2"/>
        <charset val="238"/>
      </rPr>
      <t>liczba spotkań grup tematycznych</t>
    </r>
    <r>
      <rPr>
        <sz val="10"/>
        <rFont val="Calibri"/>
        <family val="2"/>
        <charset val="238"/>
      </rPr>
      <t xml:space="preserve"> uwzględniono 1 spotkanie WGR oraz 9 uchwał podjętych przez WGR w 2016 r.                                                                                                              </t>
    </r>
    <r>
      <rPr>
        <u/>
        <sz val="10"/>
        <rFont val="Calibri"/>
        <family val="2"/>
        <charset val="238"/>
      </rPr>
      <t>3. ROK 2017:</t>
    </r>
    <r>
      <rPr>
        <sz val="10"/>
        <rFont val="Calibri"/>
        <family val="2"/>
        <charset val="238"/>
      </rPr>
      <t xml:space="preserve"> W kolumnie liczba grup tematycznych wskazano Wojewódzką Grupę Roboczą ds. KSOW. Natomiast w kolumnie liczba spotkań grup tematycznych uwzględniono 10 uchwał podjętych przez WGR, jedno spotkanie oraz zatwierdzenie jednego protokołu.
</t>
    </r>
    <r>
      <rPr>
        <u/>
        <sz val="10"/>
        <color rgb="FFFF0000"/>
        <rFont val="Calibri"/>
        <family val="2"/>
        <charset val="238"/>
      </rPr>
      <t xml:space="preserve">
</t>
    </r>
  </si>
  <si>
    <t>4.2 Liczba konsultacji tematycznych</t>
  </si>
  <si>
    <r>
      <t xml:space="preserve">W kolumnie Liczba osób według typu inicjatyw wskazano liczbę osób, która brała czynny udział w spotkaniu i podejmowaniu uchwał.                                            </t>
    </r>
    <r>
      <rPr>
        <u/>
        <sz val="11"/>
        <rFont val="Calibri"/>
        <family val="2"/>
        <charset val="238"/>
        <scheme val="minor"/>
      </rPr>
      <t xml:space="preserve">ROK 2017: </t>
    </r>
    <r>
      <rPr>
        <sz val="11"/>
        <rFont val="Calibri"/>
        <family val="2"/>
        <charset val="238"/>
        <scheme val="minor"/>
      </rPr>
      <t>W kolumnie Liczba osób według typu inicjatyw wskazano liczbę osób, która brała czynny udział w podejmowaniu uchwał, w spotkaniu oraz zatwierdzeniu protokołu.</t>
    </r>
  </si>
  <si>
    <t>Liczba przekazanych przykładów dobrych praktyk/ case study</t>
  </si>
  <si>
    <r>
      <rPr>
        <b/>
        <sz val="12"/>
        <color rgb="FF000000"/>
        <rFont val="Calibri"/>
        <family val="2"/>
        <charset val="238"/>
      </rPr>
      <t>Komentarze</t>
    </r>
    <r>
      <rPr>
        <sz val="10"/>
        <color rgb="FF000000"/>
        <rFont val="Calibri"/>
        <family val="2"/>
        <charset val="238"/>
      </rPr>
      <t xml:space="preserve">
(proszę wskazać co jest rozumiane przez kategorię "inne")</t>
    </r>
  </si>
  <si>
    <r>
      <t xml:space="preserve">Komentarze
</t>
    </r>
    <r>
      <rPr>
        <sz val="10"/>
        <color rgb="FF000000"/>
        <rFont val="Calibri"/>
        <family val="2"/>
        <charset val="238"/>
      </rPr>
      <t xml:space="preserve">(proszę wskazać co jest rozumiane </t>
    </r>
    <r>
      <rPr>
        <sz val="10"/>
        <color rgb="FF000000"/>
        <rFont val="Calibri"/>
        <family val="2"/>
        <charset val="238"/>
      </rPr>
      <t>przez kategorię "inne")</t>
    </r>
  </si>
  <si>
    <r>
      <t xml:space="preserve">1. ROK 2015:  Zakres temetyczny wskazany w kolumnie Inne tematy lub tematy mieszane dotyczą wyjazdu studyjnego pn. Przykłady nowoczesnych działań krajów nadbałtyckich w zakresie przedsiębiorczości (...) oraz cyklu spotkań pt. Jak zostać przedsiębiorczym mieszkańcem wsi.                                                                                                                                                                                                                                                                                                                                                                                   </t>
    </r>
    <r>
      <rPr>
        <u/>
        <sz val="10"/>
        <color rgb="FF000000"/>
        <rFont val="Calibri"/>
        <family val="2"/>
        <charset val="238"/>
      </rPr>
      <t>2. ROK 2016:</t>
    </r>
    <r>
      <rPr>
        <sz val="10"/>
        <color rgb="FF000000"/>
        <rFont val="Calibri"/>
        <family val="2"/>
        <charset val="238"/>
      </rPr>
      <t xml:space="preserve"> W kolumnie Inne uwzględniono: 1 spotkanie nt. funduszy unijnych zorganizowane przez Gminę Pilica, 1 seminarium połączone z  prezentacją przykładów dobrych praktyk w gospodarstwach, 1 prelekcję nt. prowadzenia działalności gospodarczej na obszarach wiejskich oraz 5 spotkań dla beneficjentów i potencjalnych beneficjentów PROW 2014-2020 i 2 spotkania dla LGD).                                                                                                                                                                                                                                                                                                                  W kolumnie Inne tematy lub tematy mieszane uwzględniono następujący zakres tematyczny: fundusze unijne jako szansa rozwoju obszarów wiejskich, warunki i tryb przyznawania pomocy finansowej oraz rozliczania uzyskanej pomocy finansowej w ramach wybranych działań PROW 2014-2020, produkty regionalne i tradycyjne, rolnictwo ekologiczne, gospodarstwa edukacyjne, zachowanie i ochrona dziedzictwa kulturowego.                     </t>
    </r>
    <r>
      <rPr>
        <u/>
        <sz val="10"/>
        <color rgb="FF000000"/>
        <rFont val="Calibri"/>
        <family val="2"/>
        <charset val="238"/>
      </rPr>
      <t xml:space="preserve">3. ROK 2017: </t>
    </r>
    <r>
      <rPr>
        <sz val="10"/>
        <color rgb="FF000000"/>
        <rFont val="Calibri"/>
        <family val="2"/>
        <charset val="238"/>
      </rPr>
      <t xml:space="preserve">W kolumnie Inne uwzględniono 3 spotkania dla beneficjentów i potencjalnych beneficjentów PROW 2014-2020 oraz operację "Być przedsiębiorczym na śląskiej wsi" - konferencja połączona z wyjazdem studyjnym.                                                                                                                                                                                      W kolumnie Inne tematy lub tematy mieszane uwzględniono następujące tematy: Zasady rozliczania  operacji typu „Inwestycje w targowiska lub obiekty budowlane przeznaczone na cele promocji lokalnych produktów” objętych Programem Rozwoju Obszarów Wiejskich na lata 2014-2020 </t>
    </r>
  </si>
  <si>
    <t>liczba przedstawicieli lokalnych partnerów i organizacji</t>
  </si>
  <si>
    <r>
      <rPr>
        <u/>
        <sz val="10"/>
        <color theme="1"/>
        <rFont val="Calibri"/>
        <family val="2"/>
        <charset val="238"/>
      </rPr>
      <t>1. ROK 2016:</t>
    </r>
    <r>
      <rPr>
        <sz val="10"/>
        <color theme="1"/>
        <rFont val="Calibri"/>
        <family val="2"/>
        <charset val="238"/>
      </rPr>
      <t xml:space="preserve"> W kolumnie </t>
    </r>
    <r>
      <rPr>
        <i/>
        <sz val="10"/>
        <color theme="1"/>
        <rFont val="Calibri"/>
        <family val="2"/>
        <charset val="238"/>
      </rPr>
      <t xml:space="preserve">liczba uczestników szkolenia/warsztatów </t>
    </r>
    <r>
      <rPr>
        <sz val="10"/>
        <color theme="1"/>
        <rFont val="Calibri"/>
        <family val="2"/>
        <charset val="238"/>
      </rPr>
      <t xml:space="preserve">wskazano maksymalną liczbę uczestników warsztatów w całym cyklu szkoleniowym (na podstawie list obecności)                                                                                                                                                                                                                                                                                                                                                                            W kolumnie </t>
    </r>
    <r>
      <rPr>
        <i/>
        <sz val="10"/>
        <color theme="1"/>
        <rFont val="Calibri"/>
        <family val="2"/>
        <charset val="238"/>
      </rPr>
      <t xml:space="preserve">liczba uczestników innych lub mieszanych działań szkoleniowych </t>
    </r>
    <r>
      <rPr>
        <sz val="10"/>
        <color theme="1"/>
        <rFont val="Calibri"/>
        <family val="2"/>
        <charset val="238"/>
      </rPr>
      <t>uwzględniono uczestników: 1 spotkania nt. funduszy unijnych zorganizowane, 1 seminarium połączonego z  prezentacją przykładów dobrych praktyk w gospodarstwach, 1 prelekcji nt. prowadzenia działalności gospodarczej na obszarach wiejskich oraz 5 spotkań dla beneficjentów i potencjalnych beneficjentów PROW 2014-2020 i 2 spotkania dla LGD.           
W kolumnie</t>
    </r>
    <r>
      <rPr>
        <i/>
        <sz val="10"/>
        <color theme="1"/>
        <rFont val="Calibri"/>
        <family val="2"/>
        <charset val="238"/>
      </rPr>
      <t xml:space="preserve"> liczba przedstawicieli innych grup interesariuszy</t>
    </r>
    <r>
      <rPr>
        <sz val="10"/>
        <color theme="1"/>
        <rFont val="Calibri"/>
        <family val="2"/>
        <charset val="238"/>
      </rPr>
      <t xml:space="preserve"> uwzględniono m.in. przedstawicieli: gmin i powiatu zawierciańskiego, Kół Gospodyń Wiejskich, stowarzyszeń działających na obszarach wiejskich, mieszkańcy Gminy Pilica - rolnicy, przedstawiciele stowarzyszeń i organizacji pozarządowych działających na terenie Gminy Pilica, beneficjentów potencjalnych beneficjenci PROW 2014-2020, przedstawicieli UMWŚ, przedstawicieli LGD, młodych rolników z województwa śląskiego etc. W kolumnie liczba przedstawicieli innych grup interesariuszy uwzględniono w/w przedstawicieli z wyjątkiem przedstawicieli LGD.                                                                                                                                                                            </t>
    </r>
    <r>
      <rPr>
        <u/>
        <sz val="10"/>
        <color theme="1"/>
        <rFont val="Calibri"/>
        <family val="2"/>
        <charset val="238"/>
      </rPr>
      <t>3. ROK 2017:</t>
    </r>
    <r>
      <rPr>
        <sz val="10"/>
        <color theme="1"/>
        <rFont val="Calibri"/>
        <family val="2"/>
        <charset val="238"/>
      </rPr>
      <t xml:space="preserve"> W kolumnie liczba uczestników innych lub mieszanych działań szkoleniowych uwzględniono uczestników operacji "Być przedsiębiorczym na ślaskiej wsi" oraz 3 spotkań dla beneficjentów i potencjalnych beneficjnetów PROW 2014-2020. W kolumnie Liczba przedstawicieli innych grup interesariuszy uwzględniono mi.in. rolników, instytucji działajacych na rzecz rozwoju obszarów wiejskich, osób prowadzacych godpodarstwa edukacyjne/agroturystyczne, mieszkańców Gminy Pilica, przedstawicieli UMWŚ, mieszkańców obszarów wiejskich, młodzi mieszkańcy wsi, młodzi rolnicy, beneficjenci i potencjalni benecjenci PROW.                                                                                                                                                                                                                                                                                   </t>
    </r>
  </si>
  <si>
    <t>7.1 Liczba inicjatyw współpracy, ofert poszukiwania partnerów do współpracy, badań/analiz, wizyt studyjnych i innych działań na rzecz współpracy</t>
  </si>
  <si>
    <t>1. ROK 2016: dotyczy 1 wyjazdu studyjnego zorganizowanego dla przedstawicieli LGD w celu nawiązania współpracy z LGD z terenu Litwy.                                                                                                                                                                                                                                                                                                                                                                                               2. ROK 2017: dotyczy 1 wyjazdu studyjnego zorganizowanego dla przedstawicieli LGD w celu nawiązania współpracy z LGD z terenu Łotwy i Estonii</t>
  </si>
  <si>
    <t>8. Budżet sieci w EUR - Proszę nie licz podwójnie</t>
  </si>
  <si>
    <r>
      <rPr>
        <b/>
        <sz val="12"/>
        <color rgb="FF000000"/>
        <rFont val="Calibri"/>
        <family val="2"/>
        <charset val="238"/>
      </rPr>
      <t xml:space="preserve">Komentarze </t>
    </r>
    <r>
      <rPr>
        <sz val="10"/>
        <color rgb="FF000000"/>
        <rFont val="Calibri"/>
        <family val="2"/>
        <charset val="238"/>
      </rPr>
      <t xml:space="preserve">(proszę wskazać także </t>
    </r>
    <r>
      <rPr>
        <sz val="10"/>
        <color rgb="FF000000"/>
        <rFont val="Calibri"/>
        <family val="2"/>
        <charset val="238"/>
      </rPr>
      <t>inne kategorie)</t>
    </r>
  </si>
  <si>
    <r>
      <rPr>
        <u/>
        <sz val="9"/>
        <rFont val="Calibri1"/>
        <charset val="238"/>
      </rPr>
      <t xml:space="preserve">1. ROK 2015: </t>
    </r>
    <r>
      <rPr>
        <sz val="9"/>
        <rFont val="Calibri1"/>
        <charset val="238"/>
      </rPr>
      <t xml:space="preserve">Na kowtę funkcjonwania </t>
    </r>
    <r>
      <rPr>
        <sz val="9"/>
        <color rgb="FFFF0000"/>
        <rFont val="Calibri1"/>
        <charset val="238"/>
      </rPr>
      <t>144 666,10 zł</t>
    </r>
    <r>
      <rPr>
        <sz val="9"/>
        <rFont val="Calibri1"/>
        <charset val="238"/>
      </rPr>
      <t xml:space="preserve"> składają się koszty związane z zatrudnieniem na pełen etat 4 osób i premia Zastępcy Dyrektora w kwocie 138 846,55 zł , delegacje w kwocie 5 785,59 zł oraz </t>
    </r>
    <r>
      <rPr>
        <sz val="9"/>
        <color rgb="FFFF0000"/>
        <rFont val="Calibri1"/>
        <charset val="238"/>
      </rPr>
      <t>internet w kwocie 33,96 zł.</t>
    </r>
    <r>
      <rPr>
        <sz val="9"/>
        <rFont val="Calibri1"/>
        <charset val="238"/>
      </rPr>
      <t xml:space="preserve"> Całkowity koszt poniesiony na realizację operacji w ramach Planu działania KSOW w 2016 roku to 376 156,74 zł.  Koszt materiałów promocyjnych (gadżety) w kwocie 16 835,01 zł brutto wykazano w tabeli 1.                                                                                                                                                                                                                                                                                                                                                                                                                                                              </t>
    </r>
    <r>
      <rPr>
        <u/>
        <sz val="9"/>
        <rFont val="Calibri1"/>
        <charset val="238"/>
      </rPr>
      <t>2. ROK 2016</t>
    </r>
    <r>
      <rPr>
        <sz val="9"/>
        <rFont val="Calibri1"/>
        <charset val="238"/>
      </rPr>
      <t xml:space="preserve">: Całkowity koszt poniesiony na realizację operacji w ramach Planu działania KSOW w 2016 roku to 807 897,95.  Koszt materiałów promocyjnych (gadżety) w kwocie 11 553,39 zł brutto wykazano w tabeli 1.
Na kwotę funkcjonowania </t>
    </r>
    <r>
      <rPr>
        <sz val="9"/>
        <color rgb="FFFF0000"/>
        <rFont val="Calibri1"/>
        <charset val="238"/>
      </rPr>
      <t xml:space="preserve">361 553,52 zł </t>
    </r>
    <r>
      <rPr>
        <sz val="9"/>
        <rFont val="Calibri1"/>
        <charset val="238"/>
      </rPr>
      <t>składają się następujące koszty : wynagrodzenie pracowników JR KSOW wraz z nagrodami i "trzynastką" oraz premie Zastępcy Dyrektora Wydziału TW w kwocie 346 156,35 zł, d</t>
    </r>
    <r>
      <rPr>
        <sz val="9"/>
        <color rgb="FFFF0000"/>
        <rFont val="Calibri1"/>
        <charset val="238"/>
      </rPr>
      <t>elegacje 13 687,32 zł, podnoszenie kwalifikacji pracowników - delegacje 1 642,20 zł oraz koszty Internetu 67,65 zł.</t>
    </r>
    <r>
      <rPr>
        <u/>
        <sz val="9"/>
        <rFont val="Calibri1"/>
        <charset val="238"/>
      </rPr>
      <t xml:space="preserve">
 ROK 2017: </t>
    </r>
    <r>
      <rPr>
        <sz val="9"/>
        <rFont val="Calibri1"/>
        <charset val="238"/>
      </rPr>
      <t>Koszty poniesione na realizację operacji w ramach Planu działania KSOW 2014-2020 w 2017 r. to 724 658,10 zł.
Na koszty funkcjonowania poniesione w 2017 r. składają się następujące elementy: wynagrodzenie pracowników JR KSOW wraz z nagrodami i "trzynastką" w kwocie 362 226,51 zł zł, delegacje 9 364,25 zł, podnoszenie kwalifikacji pracowników (delegacje) 660,00 zł, koszty internetu do tabletu 65,94 zł, koszty telefonów stacjonarnych (połączeń) 24,77 zł, koszty wydruku centralnego (wydruk i dzierżawa) 2 085,36 zł, chmura 80,88 zł. RAZEM koszty funkcjonowania to 374 507,71 zł.</t>
    </r>
  </si>
  <si>
    <t>Jednostka regionalna KSOW Woj. Warmińsko-Mazurskiego</t>
  </si>
  <si>
    <r>
      <rPr>
        <b/>
        <sz val="10"/>
        <color indexed="8"/>
        <rFont val="Calibri"/>
        <family val="2"/>
        <charset val="238"/>
      </rPr>
      <t>2015</t>
    </r>
    <r>
      <rPr>
        <sz val="10"/>
        <color indexed="8"/>
        <rFont val="Calibri"/>
        <family val="2"/>
        <charset val="238"/>
      </rPr>
      <t xml:space="preserve">                                                                                                                                                                                                                                                                                                          wydarzenia międzynarodowe:                                                                                                                                                                                                                                                                       1. Wizyta studyjna w województwie warmińsko-mazurskim przedstawicieli z Departamentu Cotes d`Armor z Francji.                                          wydarzenia krajowe:                                                                                                                                                                                                                                                                                            1. Dożynki Prezydenckie w Spale.                                                                                                                                                                                                                                                            </t>
    </r>
    <r>
      <rPr>
        <b/>
        <sz val="10"/>
        <color indexed="8"/>
        <rFont val="Calibri"/>
        <family val="2"/>
        <charset val="238"/>
      </rPr>
      <t xml:space="preserve">2016                                                                                                                                                                                                                                                                                                                </t>
    </r>
    <r>
      <rPr>
        <sz val="10"/>
        <color indexed="8"/>
        <rFont val="Calibri"/>
        <family val="2"/>
        <charset val="238"/>
      </rPr>
      <t xml:space="preserve">wydarzenia krajowe:                                                                                                                                                                                                                                                                                            1. Wystawa zwierząt.                                                                                                                                                                                                                                                                                           2. XX Ogólnopolskie Pokazy Konne XV Ogólnopolski Czempionat Koni Zimnokrwistych III Specjalistyczna Wystawa Koni Ardeńskich.                                  3. Udział wiosek tematycznych w AGROTRAVEL.                                                                                                                                                                                                                                4. Targi "Smaki Regionów" w Poznaniu.                                                                                                                                                                                                                                                   </t>
    </r>
    <r>
      <rPr>
        <b/>
        <sz val="10"/>
        <color indexed="8"/>
        <rFont val="Calibri"/>
        <family val="2"/>
        <charset val="238"/>
      </rPr>
      <t>2017</t>
    </r>
    <r>
      <rPr>
        <sz val="10"/>
        <color indexed="8"/>
        <rFont val="Calibri"/>
        <family val="2"/>
        <charset val="238"/>
      </rPr>
      <t xml:space="preserve">                                                                                                                                                                                                                                                                                                          wydarzenia krajowe:                                                                                                                                                                                                                                                                                                                                1. Targi "Smaki Regionów" w Poznaniu.</t>
    </r>
  </si>
  <si>
    <r>
      <rPr>
        <b/>
        <sz val="10"/>
        <color indexed="8"/>
        <rFont val="Calibri"/>
        <family val="2"/>
        <charset val="238"/>
      </rPr>
      <t>2015</t>
    </r>
    <r>
      <rPr>
        <sz val="10"/>
        <color indexed="8"/>
        <rFont val="Calibri"/>
        <family val="2"/>
        <charset val="238"/>
      </rPr>
      <t xml:space="preserve">                                                                                                                                                                                                                                                                                                                     wydarzenia międzynarodowe:                                                                                                                                                                                                                                                                       1. Wizyta studyjna w województwie warmińsko-mazurskim przedstawicieli z Departamentu Cotes d`Armor z Francji: 25 osób.                                                            wydarzenia krajowe:                                                                                                                                                                                                                                                                                             2. Dożynki Prezydenckie w Spale: 49 osób.                                                                                                                                                                                                                                     </t>
    </r>
    <r>
      <rPr>
        <b/>
        <sz val="10"/>
        <color indexed="8"/>
        <rFont val="Calibri"/>
        <family val="2"/>
        <charset val="238"/>
      </rPr>
      <t>2016</t>
    </r>
    <r>
      <rPr>
        <sz val="10"/>
        <color indexed="8"/>
        <rFont val="Calibri"/>
        <family val="2"/>
        <charset val="238"/>
      </rPr>
      <t xml:space="preserve">                                                                                                                                                                                                                                                                                                          wydarzenia krajowe:                                                                                                                                                                                                                                                                                            1. 1. Wystawa zwierząt:  25 040 (w tym wystawcy i osoby zwiedzające)                                                                                                                                                                                                                                                                             2. XX Ogólnopolskie Pokazy Konne XV Ogólnopolski Czempionat Koni Zimnokrwistych III Specjalistyczna Wystawa Koni Ardeńskich: 4040 (w tym wystawcy i osoby uczestniczące w wydarzeniu)                                                                                                                                                                                                                                                                                                                 3. Udział wiosek tematycznych w AGROTRAVEL: 16 wystawców, liczba zwiedzających - 20 tys.                                                                                                                            4. Targi "Smaki Regionów" w Poznaniu 4 przedstawicieli Urzędu Marszałkowskiego Województwa Warmińsko-Mazurskiego.                                        </t>
    </r>
    <r>
      <rPr>
        <b/>
        <sz val="10"/>
        <color indexed="8"/>
        <rFont val="Calibri"/>
        <family val="2"/>
        <charset val="238"/>
      </rPr>
      <t>2017</t>
    </r>
    <r>
      <rPr>
        <sz val="10"/>
        <color indexed="8"/>
        <rFont val="Calibri"/>
        <family val="2"/>
        <charset val="238"/>
      </rPr>
      <t xml:space="preserve">                                                                                                                                                                                                                                                                                                                wydarzenia krajowe: </t>
    </r>
    <r>
      <rPr>
        <b/>
        <sz val="10"/>
        <color indexed="8"/>
        <rFont val="Calibri"/>
        <family val="2"/>
        <charset val="238"/>
      </rPr>
      <t xml:space="preserve">     </t>
    </r>
    <r>
      <rPr>
        <sz val="10"/>
        <color indexed="8"/>
        <rFont val="Calibri"/>
        <family val="2"/>
        <charset val="238"/>
      </rPr>
      <t xml:space="preserve">                                                                                                                                                                                                                                                                                                                         1. Targi "Smaki Regionów" w Poznaniu.                                       </t>
    </r>
  </si>
  <si>
    <r>
      <rPr>
        <b/>
        <sz val="10"/>
        <color theme="1"/>
        <rFont val="Calibri"/>
        <family val="2"/>
        <charset val="238"/>
        <scheme val="minor"/>
      </rPr>
      <t xml:space="preserve">2015 </t>
    </r>
    <r>
      <rPr>
        <sz val="10"/>
        <color theme="1"/>
        <rFont val="Calibri"/>
        <family val="2"/>
        <charset val="238"/>
        <scheme val="minor"/>
      </rPr>
      <t xml:space="preserve">                                                                                                                                                                                                                                                                                                                                       2 publikacje w gazecie branżowej na temat działań wdrażanych w ramach PROW 2014-2020 przez Samorząd Województwa                                                 </t>
    </r>
    <r>
      <rPr>
        <b/>
        <sz val="10"/>
        <color theme="1"/>
        <rFont val="Calibri"/>
        <family val="2"/>
        <charset val="238"/>
        <scheme val="minor"/>
      </rPr>
      <t>2016</t>
    </r>
    <r>
      <rPr>
        <sz val="10"/>
        <color theme="1"/>
        <rFont val="Calibri"/>
        <family val="2"/>
        <charset val="238"/>
        <scheme val="minor"/>
      </rPr>
      <t xml:space="preserve">                                                                                                                                                                                                                                                                                                                                   2 publikacje w gazecie branżowej na temat działań wdrażanych w ramach PROW 2014-2020 przez Samorząd Województwa                                                   1 publikacja na temat jagnięciny i koźlęciny                                                                                                                                                                                                                                          1 publikacja na temat aktywizacji starszych osób                                                                                                                                                                                                                     </t>
    </r>
    <r>
      <rPr>
        <b/>
        <sz val="10"/>
        <color theme="1"/>
        <rFont val="Calibri"/>
        <family val="2"/>
        <charset val="238"/>
        <scheme val="minor"/>
      </rPr>
      <t xml:space="preserve">2017  </t>
    </r>
    <r>
      <rPr>
        <sz val="10"/>
        <color theme="1"/>
        <rFont val="Calibri"/>
        <family val="2"/>
        <charset val="238"/>
        <scheme val="minor"/>
      </rPr>
      <t xml:space="preserve">                                                                                                                                                                                                                                                                                                                                2 publikacje tematyczne/wydania ksiażkowe z zakresu zielonych miejsc pracy /uwarunkowań partnerstw terytorialnych.                                                                                                                                                                                                                                                                                                                    </t>
    </r>
  </si>
  <si>
    <r>
      <rPr>
        <b/>
        <sz val="10"/>
        <color indexed="8"/>
        <rFont val="Calibri"/>
        <family val="2"/>
        <charset val="238"/>
      </rPr>
      <t>2015</t>
    </r>
    <r>
      <rPr>
        <sz val="10"/>
        <color indexed="8"/>
        <rFont val="Calibri"/>
        <family val="2"/>
        <charset val="238"/>
      </rPr>
      <t xml:space="preserve">                                                                                                                                                                                                                                                                                                                    tablice informacyjne dla beneficjentów PROW 2007-2013 - 79 sztuk                                                                                                                                                                               </t>
    </r>
    <r>
      <rPr>
        <b/>
        <sz val="10"/>
        <color indexed="8"/>
        <rFont val="Calibri"/>
        <family val="2"/>
        <charset val="238"/>
      </rPr>
      <t>2016</t>
    </r>
    <r>
      <rPr>
        <sz val="10"/>
        <color indexed="8"/>
        <rFont val="Calibri"/>
        <family val="2"/>
        <charset val="238"/>
      </rPr>
      <t xml:space="preserve">                                                                                                                                                                                                                                                                                                                 Konkursy związane z promocją i rozwojem obszarów wiejskich - 2, roll-upy i standy wykorzystywane do promocji - 8 sztuk, tabliczki informacyjne-4 sztuki,                                                                                                                                                                                                                                                                                                                      </t>
    </r>
    <r>
      <rPr>
        <b/>
        <sz val="10"/>
        <color indexed="8"/>
        <rFont val="Calibri"/>
        <family val="2"/>
        <charset val="238"/>
      </rPr>
      <t>2017</t>
    </r>
    <r>
      <rPr>
        <sz val="10"/>
        <color indexed="8"/>
        <rFont val="Calibri"/>
        <family val="2"/>
        <charset val="238"/>
      </rPr>
      <t xml:space="preserve">                                                                                                                                                                                                                                                                                                                                                                                                                                                                                                                                                        1. 4 filmy na temat żywności wysokiej jakości w województwie warmińsko-mazurskim.                                                                                                                                     2. Spot promujący PROW 2014-2020.                                                                                                                                                                                                                                                       3. Olimpiada wiedzy o rolnictwie.                                                                                                                                                                                                                                                               4. Przygotowanie ścianki reklamowej.                                                                                                                                                                                                                                                                5. Budowa strony internetowej promującej PROW 2014-2020.</t>
    </r>
  </si>
  <si>
    <r>
      <t xml:space="preserve">Spotkanie wojewódzkiej grupy roboczej ds. KSOW                                                                                                                                                                                                                    </t>
    </r>
    <r>
      <rPr>
        <b/>
        <sz val="10"/>
        <color theme="1"/>
        <rFont val="Calibri"/>
        <family val="2"/>
        <charset val="238"/>
        <scheme val="minor"/>
      </rPr>
      <t/>
    </r>
  </si>
  <si>
    <t>Liczba osób biorących udział w spotkaniach wojewódzkiej grupy roboczej ds. KSOW w 2015 r.-12 osób                                                                                              Liczba osób biorących udział w spotkaniach wojewódzkiej grupy roboczej ds. KSOW w 2016 r., w szczegółowości: 1 spotkanie w trybie zwyczajnym - 9 osób, 5 akceptacji w trybie obiegowym - łącznie 43 osoby (te same osoby liczone przy każdej akceptacji w trybie obiegowym).                              Liczba osób biorących udział w spotkaniach wojewódzkiej grupy roboczej ds. KSOW w 2017 r.-12 osób                                                                                                                                                                                                                                                                                                                                     6 spotkań w trybie obiegowym - łącznie 44 osoby (te same osoby liczone przy każdej akceptacji w trybie obiegowym)</t>
  </si>
  <si>
    <r>
      <rPr>
        <b/>
        <sz val="10"/>
        <color theme="1"/>
        <rFont val="Calibri"/>
        <family val="2"/>
        <charset val="238"/>
        <scheme val="minor"/>
      </rPr>
      <t>2015</t>
    </r>
    <r>
      <rPr>
        <sz val="10"/>
        <color theme="1"/>
        <rFont val="Calibri"/>
        <family val="2"/>
        <scheme val="minor"/>
      </rPr>
      <t xml:space="preserve">                                                                                                                                                                                                                                                                                                                                  Szkolenie dla LGD.                                                                                                                                                                                                                                                                                                 Szkolenie dla beneficjentów działania "Budowa lub modernizacja dróg lokalnych w ramach PRWO 2014-2020".                                                                          </t>
    </r>
    <r>
      <rPr>
        <b/>
        <sz val="10"/>
        <color theme="1"/>
        <rFont val="Calibri"/>
        <family val="2"/>
        <charset val="238"/>
        <scheme val="minor"/>
      </rPr>
      <t>2016</t>
    </r>
    <r>
      <rPr>
        <sz val="10"/>
        <color theme="1"/>
        <rFont val="Calibri"/>
        <family val="2"/>
        <scheme val="minor"/>
      </rPr>
      <t xml:space="preserve">                                                                                                                                                                                                                                                                                                                                                                                                                        3 Szkolenia/spotkania z beneficjentami PROW 2014-2020 w ramach Planu komunikacyjnego.                                                                                                                      6 szkoleń związanych z promocją i rozwojem obszarów wiejskich.                                                                                                                                                                                            1 szkolenie dla LGD.                                                                                                                                                                                                                                                                                               3 cykle szkoleniowe w ramach trzech operacji realizowanych przez Partnera w ramach Planu operacyjnego na lata 2016-2017.                                         1 seminarium zrealizowane przez Partnera w ramach Planu operacyjnego na lata 2016-2017.                                                                                                                         1 wizyta studyjna do Białowieży                                                                                                                                                                                                                                                            </t>
    </r>
    <r>
      <rPr>
        <b/>
        <sz val="10"/>
        <color theme="1"/>
        <rFont val="Calibri"/>
        <family val="2"/>
        <charset val="238"/>
        <scheme val="minor"/>
      </rPr>
      <t>2017</t>
    </r>
    <r>
      <rPr>
        <sz val="10"/>
        <color theme="1"/>
        <rFont val="Calibri"/>
        <family val="2"/>
        <scheme val="minor"/>
      </rPr>
      <t xml:space="preserve">                                                                                                                                                                                                                                                                                                                                      1. 2 szkolenia/spotkania informacyjne dla beneficjentów PROW 2014-2020 w ramach planu komunikacyjnego</t>
    </r>
  </si>
  <si>
    <r>
      <t xml:space="preserve">2015                                                                                                                                                                                                                                                                                                                                </t>
    </r>
    <r>
      <rPr>
        <sz val="10"/>
        <color indexed="8"/>
        <rFont val="Calibri"/>
        <family val="2"/>
        <charset val="238"/>
      </rPr>
      <t xml:space="preserve"> Szkolenie z zakresu działania  "Budowa lub modernizacja dróg lokalnych w ramach PRWO 2014-2020"-155 osób                                                                               Szkolenie dla LGD - 63 osoby                                                                                                                                                                                                                           </t>
    </r>
    <r>
      <rPr>
        <b/>
        <sz val="10"/>
        <color indexed="8"/>
        <rFont val="Calibri"/>
        <family val="2"/>
      </rPr>
      <t xml:space="preserve">                                            2016                                                                                                                                                                                                                                                                                                                               </t>
    </r>
    <r>
      <rPr>
        <sz val="10"/>
        <color indexed="8"/>
        <rFont val="Calibri"/>
        <family val="2"/>
        <charset val="238"/>
      </rPr>
      <t xml:space="preserve">Pracownicy Urzędu Marszałkowskiego, którzy brali udział w szkoleniach/spotkania z beneficjentami PROW 2014-2020-51 osób                                      Rolnicy, którzy barali udział w warsztatach serowarskich -32 osoby                                                                                                                                                                     Przedstawiciele LGD (udział w 3 spotkaniach/szkoleniach) - 117 osób                                                                                                                                                                                   Beneficjenci działań w ramach PROW 2014-2020 uczestniczący w 2 spotkaniach informacyjnych - 327 osób                                                                                    Mieszkańcy województwa warmińsko-mazurskiego/grupy docelowe biorące udział w 6 przedsiewzięciach przeprowadzonych przez partnerów KSOW  oraz  w 1 przedsięwzięciu własnym - 466 osób                                                                                                                                                                                                            </t>
    </r>
    <r>
      <rPr>
        <b/>
        <sz val="10"/>
        <color indexed="8"/>
        <rFont val="Calibri"/>
        <family val="2"/>
        <charset val="238"/>
      </rPr>
      <t>2017</t>
    </r>
    <r>
      <rPr>
        <sz val="10"/>
        <color indexed="8"/>
        <rFont val="Calibri"/>
        <family val="2"/>
        <charset val="238"/>
      </rPr>
      <t xml:space="preserve">                                                                                                                                                                                                                                                                                                                                                                                                                                                                                                                                                                                                                                                                                                                                                                                                                             1. Beneficjenci operacji dotyczących gospodarki wodno-ściekowej-37 osób                                                                                                                                                       Pracownicy Urzędu Marszałkowskiego, którzy brali udział w spotkaniu z beneficjentami operacji dotyczących gospodarki wodno-ściekowej-19 osób 2. Przedstawiciele LGD biorący udział w szkoleniu - 35 osób Pracownicy Urzędu Marszałkowskiego biorący udział w szkoleniu-15 osób                                                                                                                                                                                                  </t>
    </r>
  </si>
  <si>
    <t>wynagrodzenie, koszty: materiałów eksploatacyjnych i biurowych, paliwa, delegacji, usług telekomunikacyjnych, udział pracowników w szkoleniach</t>
  </si>
  <si>
    <t>[Jednostka Regionalna Krajowej Sieci Obszarów Wiejskich Województwo Wielkopolskie]</t>
  </si>
  <si>
    <r>
      <rPr>
        <b/>
        <sz val="10"/>
        <color indexed="8"/>
        <rFont val="Calibri"/>
        <family val="2"/>
        <charset val="238"/>
      </rPr>
      <t>2015 r.</t>
    </r>
    <r>
      <rPr>
        <sz val="10"/>
        <color indexed="8"/>
        <rFont val="Calibri"/>
        <family val="2"/>
        <charset val="238"/>
      </rPr>
      <t xml:space="preserve"> </t>
    </r>
    <r>
      <rPr>
        <u/>
        <sz val="10"/>
        <color indexed="8"/>
        <rFont val="Calibri"/>
        <family val="2"/>
        <charset val="238"/>
      </rPr>
      <t xml:space="preserve">Zasięg krajowy - </t>
    </r>
    <r>
      <rPr>
        <sz val="10"/>
        <color indexed="8"/>
        <rFont val="Calibri"/>
        <family val="2"/>
        <charset val="238"/>
      </rPr>
      <t xml:space="preserve">Wieś Polska - Wieś Innowacyjna; Targi: XIV Ogólnopolski Festiwal Starych Ciągników i Maszyn Rolniczych; III Światowy Festiwal  Wikliny i Plecionkarstwa Nowy Tomyśl; Smaki Regionów; Dożynki Prezydenckie w Spale. </t>
    </r>
    <r>
      <rPr>
        <u/>
        <sz val="10"/>
        <color indexed="8"/>
        <rFont val="Calibri"/>
        <family val="2"/>
        <charset val="238"/>
      </rPr>
      <t>Zasięg lokalny/regionalny</t>
    </r>
    <r>
      <rPr>
        <sz val="10"/>
        <color indexed="8"/>
        <rFont val="Calibri"/>
        <family val="2"/>
        <charset val="238"/>
      </rPr>
      <t xml:space="preserve"> to Wieczerza Wigilijna - kultywowanie tradycji bożonarodzeniowych; Wielkopolskie Święto Mleka w Powiecie Kolskim.  </t>
    </r>
    <r>
      <rPr>
        <b/>
        <sz val="10"/>
        <color indexed="8"/>
        <rFont val="Calibri"/>
        <family val="2"/>
        <charset val="238"/>
      </rPr>
      <t>2016 r.</t>
    </r>
    <r>
      <rPr>
        <sz val="10"/>
        <color indexed="8"/>
        <rFont val="Calibri"/>
        <family val="2"/>
        <charset val="238"/>
      </rPr>
      <t xml:space="preserve"> </t>
    </r>
    <r>
      <rPr>
        <u/>
        <sz val="10"/>
        <color indexed="8"/>
        <rFont val="Calibri"/>
        <family val="2"/>
        <charset val="238"/>
      </rPr>
      <t xml:space="preserve">Zasięg krajowy: </t>
    </r>
    <r>
      <rPr>
        <sz val="10"/>
        <color indexed="8"/>
        <rFont val="Calibri"/>
        <family val="2"/>
        <charset val="238"/>
      </rPr>
      <t xml:space="preserve">Tour Salon, Dożynki Prezydenckie w Spale, Agrotravel oraz Targi Smaki Regionów. </t>
    </r>
    <r>
      <rPr>
        <u/>
        <sz val="10"/>
        <color indexed="8"/>
        <rFont val="Calibri"/>
        <family val="2"/>
        <charset val="238"/>
      </rPr>
      <t>Zasięg międzynarodowy:</t>
    </r>
    <r>
      <rPr>
        <sz val="10"/>
        <color indexed="8"/>
        <rFont val="Calibri"/>
        <family val="2"/>
        <charset val="238"/>
      </rPr>
      <t xml:space="preserve"> Grune Woche, Dzień Św. Marcina w Brukseli oraz dwa inne wyjazdy zagraniczne - Korea i Hesja.</t>
    </r>
    <r>
      <rPr>
        <u/>
        <sz val="10"/>
        <color indexed="8"/>
        <rFont val="Calibri"/>
        <family val="2"/>
        <charset val="238"/>
      </rPr>
      <t xml:space="preserve"> Zasięg lokalny/regionalny: </t>
    </r>
    <r>
      <rPr>
        <sz val="10"/>
        <color indexed="8"/>
        <rFont val="Calibri"/>
        <family val="2"/>
        <charset val="238"/>
      </rPr>
      <t xml:space="preserve">Dożynki w Liskowie oraz 49 wydarzeń w ramach wszystkich wniosków partnerów. 5 projektów partnerów KSOW realizowanych było w ramach kilku priorytetów; Szkolenie -  Forum Kobiet; Szkolenie nt  możliwości pozyskania funduszy unijnych Ostrzeszów. </t>
    </r>
    <r>
      <rPr>
        <b/>
        <sz val="10"/>
        <color indexed="8"/>
        <rFont val="Calibri"/>
        <family val="2"/>
        <charset val="238"/>
      </rPr>
      <t>2017 r.</t>
    </r>
    <r>
      <rPr>
        <sz val="10"/>
        <color indexed="8"/>
        <rFont val="Calibri"/>
        <family val="2"/>
        <charset val="238"/>
      </rPr>
      <t xml:space="preserve"> </t>
    </r>
    <r>
      <rPr>
        <u/>
        <sz val="10"/>
        <color indexed="8"/>
        <rFont val="Calibri"/>
        <family val="2"/>
        <charset val="238"/>
      </rPr>
      <t>zasięg międzynarodowy:</t>
    </r>
    <r>
      <rPr>
        <sz val="10"/>
        <color indexed="8"/>
        <rFont val="Calibri"/>
        <family val="2"/>
        <charset val="238"/>
      </rPr>
      <t xml:space="preserve"> Grune Woche, Miedzynarodowe Targi Turystyczner we Wrocławiu, Festyn Kraju Związkowego Hesja Dzień Hesji - Rüsselsheim, Dzień Świętego Marcina w Brukseli, Wyjazd szkoleniowo-studyjny dla przedstawicieli LGD do g. Amtsberg. Z</t>
    </r>
    <r>
      <rPr>
        <u/>
        <sz val="10"/>
        <color indexed="8"/>
        <rFont val="Calibri"/>
        <family val="2"/>
        <charset val="238"/>
      </rPr>
      <t>asięg krajowy:</t>
    </r>
    <r>
      <rPr>
        <sz val="10"/>
        <color indexed="8"/>
        <rFont val="Calibri"/>
        <family val="2"/>
        <charset val="238"/>
      </rPr>
      <t xml:space="preserve"> Dożynki Prezydenckie Spała, Targi Smaki Regionów. </t>
    </r>
    <r>
      <rPr>
        <u/>
        <sz val="10"/>
        <color indexed="8"/>
        <rFont val="Calibri"/>
        <family val="2"/>
        <charset val="238"/>
      </rPr>
      <t>Zasięg lokalny/regionalny:</t>
    </r>
    <r>
      <rPr>
        <sz val="10"/>
        <color indexed="8"/>
        <rFont val="Calibri"/>
        <family val="2"/>
        <charset val="238"/>
      </rPr>
      <t xml:space="preserve"> Konferencja pszczelarzy, Wyjazd studyjny samorządowców z Wlkp do woj. świętokrzyskiego, IV Świeto zupy w Borui Nowej, Dożynki Archidecezjalno-Wojewódzkie w Gnieźnie, Niedziela z funduszami Unijnymi w aspekcie 750 lecia Dubina, wyjazd studyjny dla dziennikarzy niemieckich  oraz dwa szkolenia realizowane w ramach PK (szkolenie dla LGD z poddziałanie 19.2 oraz dla beneficjentów w zakresie PZP)  oraz 19 wydarzeń realizowanych przez partnerów KSOW. </t>
    </r>
  </si>
  <si>
    <r>
      <t>2015r</t>
    </r>
    <r>
      <rPr>
        <u/>
        <sz val="10"/>
        <color indexed="8"/>
        <rFont val="Calibri"/>
        <family val="2"/>
        <charset val="238"/>
      </rPr>
      <t>. - Zasięg krajowy to</t>
    </r>
    <r>
      <rPr>
        <sz val="10"/>
        <color indexed="8"/>
        <rFont val="Calibri"/>
        <family val="2"/>
        <charset val="238"/>
      </rPr>
      <t xml:space="preserve"> - Wieś Polska - Wieś Innowacyjna, XIV Ogólnopolski Festiwal Starych Ciągników i Maszyn Rolniczych, III Światowy Festiwal  Wikliny i Plecionkarstwa Nowy Tomyśl, Smaki Regionów (łącznie 384 uczestników) , Dożynki Prezydenckie w Spale (ok. 10 000 zwiedzających) ; </t>
    </r>
    <r>
      <rPr>
        <u/>
        <sz val="10"/>
        <color indexed="8"/>
        <rFont val="Calibri"/>
        <family val="2"/>
        <charset val="238"/>
      </rPr>
      <t>Zasięg lokalny/regionalny</t>
    </r>
    <r>
      <rPr>
        <sz val="10"/>
        <color indexed="8"/>
        <rFont val="Calibri"/>
        <family val="2"/>
        <charset val="238"/>
      </rPr>
      <t xml:space="preserve"> to Wieczerza Wigilijna - kultywowanie tradycji bożonarodzeniowych, Wielkopolskie Święto Mleka w Powiecie Kolskim (łącznie 524 uczestników).</t>
    </r>
    <r>
      <rPr>
        <b/>
        <sz val="10"/>
        <color indexed="8"/>
        <rFont val="Calibri"/>
        <family val="2"/>
        <charset val="238"/>
      </rPr>
      <t xml:space="preserve">  2016 r.</t>
    </r>
    <r>
      <rPr>
        <sz val="10"/>
        <color indexed="8"/>
        <rFont val="Calibri"/>
        <family val="2"/>
        <charset val="238"/>
      </rPr>
      <t xml:space="preserve"> </t>
    </r>
    <r>
      <rPr>
        <u/>
        <sz val="10"/>
        <color indexed="8"/>
        <rFont val="Calibri"/>
        <family val="2"/>
        <charset val="238"/>
      </rPr>
      <t>Zasięg krajowy</t>
    </r>
    <r>
      <rPr>
        <sz val="10"/>
        <color indexed="8"/>
        <rFont val="Calibri"/>
        <family val="2"/>
        <charset val="238"/>
      </rPr>
      <t xml:space="preserve">: Tour Salon - ok. 35 000 odwiedzających, Dożynki Prezydenckie w Spale - ok. 8 000 uczestników oraz Agrotravel - ok. 20 000 uczestników, Targi Smaki Regionów to ok. 40 000 osób. </t>
    </r>
    <r>
      <rPr>
        <u/>
        <sz val="10"/>
        <color indexed="8"/>
        <rFont val="Calibri"/>
        <family val="2"/>
        <charset val="238"/>
      </rPr>
      <t>Zasięg międzynarodowy:</t>
    </r>
    <r>
      <rPr>
        <sz val="10"/>
        <color indexed="8"/>
        <rFont val="Calibri"/>
        <family val="2"/>
        <charset val="238"/>
      </rPr>
      <t xml:space="preserve"> Grune Woche - ok. 41 1731 odwiedzających, Dzień Św. Marcina w Brukseli to ok. 400 osób, dwa pozostałe wyjazdy zagraniczne - do Hesji 11 osób do Korei 6 osób. </t>
    </r>
    <r>
      <rPr>
        <u/>
        <sz val="10"/>
        <color indexed="8"/>
        <rFont val="Calibri"/>
        <family val="2"/>
        <charset val="238"/>
      </rPr>
      <t xml:space="preserve">Zasięg lokalny/regionalny: </t>
    </r>
    <r>
      <rPr>
        <sz val="10"/>
        <color indexed="8"/>
        <rFont val="Calibri"/>
        <family val="2"/>
        <charset val="238"/>
      </rPr>
      <t xml:space="preserve">Dożynki w Liskowie ok. 500 osób oraz ok. 40 063 uczestników wydarzeń, organizowanych przez Partnerów KSOW, Szkolenie -  Forum Kobiet; Szkolenie nt  możliwości pozyskania funduszy unijnych Ostrzeszów. </t>
    </r>
    <r>
      <rPr>
        <b/>
        <sz val="10"/>
        <color indexed="8"/>
        <rFont val="Calibri"/>
        <family val="2"/>
        <charset val="238"/>
      </rPr>
      <t>2017 r.</t>
    </r>
    <r>
      <rPr>
        <sz val="10"/>
        <color indexed="8"/>
        <rFont val="Calibri"/>
        <family val="2"/>
        <charset val="238"/>
      </rPr>
      <t xml:space="preserve"> </t>
    </r>
    <r>
      <rPr>
        <u/>
        <sz val="10"/>
        <color indexed="8"/>
        <rFont val="Calibri"/>
        <family val="2"/>
        <charset val="238"/>
      </rPr>
      <t xml:space="preserve">Zasięg międzynarodowy: </t>
    </r>
    <r>
      <rPr>
        <sz val="10"/>
        <color indexed="8"/>
        <rFont val="Calibri"/>
        <family val="2"/>
        <charset val="238"/>
      </rPr>
      <t>Grune Woche ok 401650 osób, Miedzynarodowe Targi Turystyczner we Wrocławiu ok. 10599, Festyn Kraju Związkowego Hesja Dzień Hesji - Rüsselsheim ok 1 400 000 osób, Dzień Świętego Marcina w Brukseli (wyjazd studyjny) - 10 osób, Wyjazd szkoleniowo-studyjny dla przedstawicieli LGD do g. Amtsberg - 32 osoby. Z</t>
    </r>
    <r>
      <rPr>
        <u/>
        <sz val="10"/>
        <color indexed="8"/>
        <rFont val="Calibri"/>
        <family val="2"/>
        <charset val="238"/>
      </rPr>
      <t>asięg krajowy:</t>
    </r>
    <r>
      <rPr>
        <sz val="10"/>
        <color indexed="8"/>
        <rFont val="Calibri"/>
        <family val="2"/>
        <charset val="238"/>
      </rPr>
      <t xml:space="preserve"> Dożynki Prezydenckie Spała ok. 8 000 uczestników, Targi Smaki Regionów ok. 40 000 odwiedzających. </t>
    </r>
    <r>
      <rPr>
        <u/>
        <sz val="10"/>
        <color indexed="8"/>
        <rFont val="Calibri"/>
        <family val="2"/>
        <charset val="238"/>
      </rPr>
      <t>Zasięg lokalny/regionalny:</t>
    </r>
    <r>
      <rPr>
        <sz val="10"/>
        <color indexed="8"/>
        <rFont val="Calibri"/>
        <family val="2"/>
        <charset val="238"/>
      </rPr>
      <t xml:space="preserve"> Konferencja pszczelarzy ok. 166 osób, Wyjazd studyjny samorządowców z Wlkp do woj. świętokrzyskiego - 40 osób, IV Świeto zupy w Borui Nowej ok. 4 000 uczestników, Dożynki Archidecezjalno-Wojewódzkie w Gnieźnie</t>
    </r>
    <r>
      <rPr>
        <b/>
        <sz val="10"/>
        <color indexed="8"/>
        <rFont val="Calibri"/>
        <family val="2"/>
        <charset val="238"/>
      </rPr>
      <t xml:space="preserve"> </t>
    </r>
    <r>
      <rPr>
        <sz val="10"/>
        <color indexed="8"/>
        <rFont val="Calibri"/>
        <family val="2"/>
        <charset val="238"/>
      </rPr>
      <t xml:space="preserve">500 osób, Niedziela z funduszami Unijnymi w aspekcie 750 lecia Dubina ok. 3000 uczestników, 18 osób (wyjazd studyjny dla dziennikarzy niemieckich)  oraz 226 osób  w ramach szkoleń realizowanych w ramach PK (szkolenie dla LGD z poddziałanie 19.2 oraz dla beneficjentów w zakresie PZP) oraz ok. 24 607 uczestników wydarzeń realizowanych przez partnerów KSOW. </t>
    </r>
  </si>
  <si>
    <r>
      <rPr>
        <b/>
        <sz val="10"/>
        <color theme="1"/>
        <rFont val="Calibri"/>
        <family val="2"/>
        <charset val="238"/>
        <scheme val="minor"/>
      </rPr>
      <t>2015r</t>
    </r>
    <r>
      <rPr>
        <sz val="10"/>
        <color theme="1"/>
        <rFont val="Calibri"/>
        <family val="2"/>
        <charset val="238"/>
        <scheme val="minor"/>
      </rPr>
      <t xml:space="preserve">. - Inne: Publikacja "Wzorowa PROWincja" -  Dobre praktyki wykorzystania PROW 2007-2013 w województwie wielkopolskim.  </t>
    </r>
    <r>
      <rPr>
        <b/>
        <sz val="10"/>
        <color theme="1"/>
        <rFont val="Calibri"/>
        <family val="2"/>
        <charset val="238"/>
        <scheme val="minor"/>
      </rPr>
      <t>2016 r.</t>
    </r>
    <r>
      <rPr>
        <sz val="10"/>
        <color theme="1"/>
        <rFont val="Calibri"/>
        <family val="2"/>
        <charset val="238"/>
        <scheme val="minor"/>
      </rPr>
      <t xml:space="preserve"> - publikacje w prasie - Monitor Wielkopolski, Nasza EuroProwincja, 16 publikacji w ramach PK, 1 projekt Partnera pn. "Wielkopolska wieś w zgodzie z zasadami gospodarki niskoemisyjnej - praktyczny Poradnik z nową perspektywą finansową" </t>
    </r>
    <r>
      <rPr>
        <b/>
        <sz val="10"/>
        <color theme="1"/>
        <rFont val="Calibri"/>
        <family val="2"/>
        <charset val="238"/>
        <scheme val="minor"/>
      </rPr>
      <t xml:space="preserve">2017 r. </t>
    </r>
    <r>
      <rPr>
        <sz val="10"/>
        <color theme="1"/>
        <rFont val="Calibri"/>
        <family val="2"/>
        <charset val="238"/>
        <scheme val="minor"/>
      </rPr>
      <t xml:space="preserve">- Monitor Wielkopolski, Nasza EuroProwincja, 15 publikacji/materiałów w prasie w ramach PK oraz 2 publikacje realizowane przez Partnerów KSOW (Przemęt Szparagi publikacja pokonferencyjna oraz Gmina Miłosław - ogłoszenie w prasie). </t>
    </r>
  </si>
  <si>
    <r>
      <rPr>
        <b/>
        <sz val="10"/>
        <color indexed="8"/>
        <rFont val="Calibri"/>
        <family val="2"/>
        <charset val="238"/>
      </rPr>
      <t xml:space="preserve">2015r. </t>
    </r>
    <r>
      <rPr>
        <sz val="10"/>
        <color indexed="8"/>
        <rFont val="Calibri"/>
        <family val="2"/>
        <charset val="238"/>
      </rPr>
      <t xml:space="preserve">- Konkursy: Plebiscyt "Super Rolnik Wielkopolski" oraz Plebiscyt dla Kół Gospodyń Wiejskich . </t>
    </r>
    <r>
      <rPr>
        <b/>
        <sz val="10"/>
        <color indexed="8"/>
        <rFont val="Calibri"/>
        <family val="2"/>
        <charset val="238"/>
      </rPr>
      <t>2016 r.</t>
    </r>
    <r>
      <rPr>
        <sz val="10"/>
        <color indexed="8"/>
        <rFont val="Calibri"/>
        <family val="2"/>
        <charset val="238"/>
      </rPr>
      <t xml:space="preserve"> - 5 spotów reklamowych w radio - Radio Centrum, Radio Merkury, Radio Sud Kępno, Radio Elka, Radio RMF MAXX Piła; Konkursy: Wielkopolski Rolnik Roku; 3 projekty Partnerów pn. "IV edycja konkursu "Fundusz sołecki - najlepsza  inicjatywa" skierowanego do sołectw z terenu województwa wielkopolskiego"  oraz Konkursy: Plebiscyt "Super Rolnik Wielkopolski 2016" oraz Plebiscyt Koła Gospodyń Wiejskich. </t>
    </r>
    <r>
      <rPr>
        <b/>
        <sz val="10"/>
        <color indexed="8"/>
        <rFont val="Calibri"/>
        <family val="2"/>
        <charset val="238"/>
      </rPr>
      <t>2017 r.</t>
    </r>
    <r>
      <rPr>
        <sz val="10"/>
        <color indexed="8"/>
        <rFont val="Calibri"/>
        <family val="2"/>
        <charset val="238"/>
      </rPr>
      <t xml:space="preserve"> -  Wielkopolski Rolnik Roku. 1 operacja Partnera KSOW V edycja konkursu "Fundusz sołecki - najlepsza  inicjatywa" skierowanego do sołectw z terenu województwa wielkopolskiego"  </t>
    </r>
  </si>
  <si>
    <r>
      <rPr>
        <b/>
        <sz val="10"/>
        <color theme="1"/>
        <rFont val="Calibri"/>
        <family val="2"/>
        <charset val="238"/>
      </rPr>
      <t xml:space="preserve">2015r. </t>
    </r>
    <r>
      <rPr>
        <sz val="10"/>
        <color theme="1"/>
        <rFont val="Calibri"/>
        <family val="2"/>
        <charset val="238"/>
      </rPr>
      <t xml:space="preserve">- Dobre praktyki wykorzystania PROW 2007-2013 w województwie wielkopolskim. </t>
    </r>
  </si>
  <si>
    <r>
      <rPr>
        <b/>
        <sz val="10"/>
        <color theme="1"/>
        <rFont val="Calibri"/>
        <family val="2"/>
        <charset val="238"/>
        <scheme val="minor"/>
      </rPr>
      <t>2015r.-</t>
    </r>
    <r>
      <rPr>
        <sz val="10"/>
        <color theme="1"/>
        <rFont val="Calibri"/>
        <family val="2"/>
        <charset val="238"/>
        <scheme val="minor"/>
      </rPr>
      <t xml:space="preserve">Grupa Robocza ds. KSOW - 2 spotkania związane z PO. </t>
    </r>
    <r>
      <rPr>
        <b/>
        <sz val="10"/>
        <color theme="1"/>
        <rFont val="Calibri"/>
        <family val="2"/>
        <charset val="238"/>
        <scheme val="minor"/>
      </rPr>
      <t>2016 r.-</t>
    </r>
    <r>
      <rPr>
        <sz val="10"/>
        <color theme="1"/>
        <rFont val="Calibri"/>
        <family val="2"/>
        <charset val="238"/>
        <scheme val="minor"/>
      </rPr>
      <t xml:space="preserve"> 6 obiegowych spotkań  - 5 - związane z monitorowaniem i sprawozdawczością, 1 -  akceptacja zmian PO 2016-2017 w 2016r.</t>
    </r>
    <r>
      <rPr>
        <b/>
        <sz val="10"/>
        <color theme="1"/>
        <rFont val="Calibri"/>
        <family val="2"/>
        <charset val="238"/>
        <scheme val="minor"/>
      </rPr>
      <t xml:space="preserve"> 2017r.-</t>
    </r>
    <r>
      <rPr>
        <sz val="10"/>
        <color theme="1"/>
        <rFont val="Calibri"/>
        <family val="2"/>
        <charset val="238"/>
        <scheme val="minor"/>
      </rPr>
      <t xml:space="preserve"> 3 posiedzenia i 5 posiedzeń obiegowych.</t>
    </r>
  </si>
  <si>
    <r>
      <rPr>
        <b/>
        <sz val="10"/>
        <color indexed="8"/>
        <rFont val="Calibri"/>
        <family val="2"/>
        <charset val="238"/>
      </rPr>
      <t>2015r.</t>
    </r>
    <r>
      <rPr>
        <sz val="10"/>
        <color indexed="8"/>
        <rFont val="Calibri"/>
        <family val="2"/>
        <charset val="238"/>
      </rPr>
      <t xml:space="preserve">-Grupa Robocza ds. KSOW - 2 spotkania związane z PO. </t>
    </r>
    <r>
      <rPr>
        <b/>
        <sz val="10"/>
        <color indexed="8"/>
        <rFont val="Calibri"/>
        <family val="2"/>
        <charset val="238"/>
      </rPr>
      <t>2016 r</t>
    </r>
    <r>
      <rPr>
        <sz val="10"/>
        <color indexed="8"/>
        <rFont val="Calibri"/>
        <family val="2"/>
        <charset val="238"/>
      </rPr>
      <t xml:space="preserve">. 6 obiegowych spotkań  </t>
    </r>
    <r>
      <rPr>
        <b/>
        <sz val="10"/>
        <color indexed="8"/>
        <rFont val="Calibri"/>
        <family val="2"/>
        <charset val="238"/>
      </rPr>
      <t>2017 r</t>
    </r>
    <r>
      <rPr>
        <sz val="10"/>
        <color indexed="8"/>
        <rFont val="Calibri"/>
        <family val="2"/>
        <charset val="238"/>
      </rPr>
      <t>. 3 posiedzenia (styczeń, maj, grudzień)  i 5 posiedzeń obiegowych (kwiecień, 2 x czerwiec, sierpień, listopad)</t>
    </r>
  </si>
  <si>
    <r>
      <rPr>
        <b/>
        <sz val="10"/>
        <color theme="1"/>
        <rFont val="Calibri"/>
        <family val="2"/>
        <charset val="238"/>
        <scheme val="minor"/>
      </rPr>
      <t xml:space="preserve">2015r. </t>
    </r>
    <r>
      <rPr>
        <sz val="10"/>
        <color theme="1"/>
        <rFont val="Calibri"/>
        <family val="2"/>
        <charset val="238"/>
        <scheme val="minor"/>
      </rPr>
      <t xml:space="preserve">- Cykl 6 szkoleń w subregionach Województwa Wielkopolskiego dla potencjalnych beneficjentów PROW 2014-2020 oraz 3 spotkania szkoleniowe dla LGD (w ramach Planu Komunikacyjnego). </t>
    </r>
    <r>
      <rPr>
        <b/>
        <sz val="10"/>
        <color theme="1"/>
        <rFont val="Calibri"/>
        <family val="2"/>
        <charset val="238"/>
        <scheme val="minor"/>
      </rPr>
      <t>2016 r</t>
    </r>
    <r>
      <rPr>
        <sz val="10"/>
        <color theme="1"/>
        <rFont val="Calibri"/>
        <family val="2"/>
        <scheme val="minor"/>
      </rPr>
      <t>. 10 szkoleń w ramach PK i PO - operacje własne, 42 szkolenia w ramach wniosków Partnerów, 3 wyjazdy studyjne w ramach PO (do woj. podlaskiego, z woj. lubuskiego i do Brukseli Św. Marcin),  Szkolenie -  Forum Kobiet; Szkolenie nt  możliwości pozyskania funduszy unijnych Ostrzeszów.</t>
    </r>
    <r>
      <rPr>
        <b/>
        <sz val="10"/>
        <color theme="1"/>
        <rFont val="Calibri"/>
        <family val="2"/>
        <charset val="238"/>
        <scheme val="minor"/>
      </rPr>
      <t xml:space="preserve"> 2017 r.</t>
    </r>
    <r>
      <rPr>
        <sz val="10"/>
        <color theme="1"/>
        <rFont val="Calibri"/>
        <family val="2"/>
        <scheme val="minor"/>
      </rPr>
      <t xml:space="preserve"> Spotkanie dotyczące realizacji operacji w roku 2017 przez partnerów KSOW w ramach PO KSOW 2016-2017, Spotkanie Konsultacyjno-szkoleniowe dotyczące wdrażania poddziałania 19.2 i 19.3, Szkolenie dotyczące wypełniania wniosków o płatność na operacje typu "Budowa lub modernizacja dróg lokalnych", Szkolenie dotyczące naboru wniosków na operacje "inwestycja w targowiska lub obiekty budowlane przeznaczone na cele promocji lokalnych produktów", Szkolenie dotyczące możliwości pozyskania funduszy z PROW 2014-2020, S</t>
    </r>
    <r>
      <rPr>
        <sz val="10"/>
        <color theme="1"/>
        <rFont val="Calibri"/>
        <family val="2"/>
        <charset val="238"/>
        <scheme val="minor"/>
      </rPr>
      <t>zkolenie dla LGD dot. 19.2, Szkolenie dla beneficjentów oraz potencjalnych beneficjentów PZP, 14 szkoleń/warszatów oraz 4 wyjazdy studyjne realizowane przez partnerów KSOW oraz 4 wyjazdy studyjne realizowane przez JR KSOW woj. wlkp. (do woj. świętokrzyskiego, do Gminy Amtsberg, do Brukseli dzień Św. Marcina oraz wizyta dziennikarzy niemieckich w Wlkp.)</t>
    </r>
  </si>
  <si>
    <r>
      <rPr>
        <b/>
        <sz val="10"/>
        <color indexed="8"/>
        <rFont val="Calibri"/>
        <family val="2"/>
        <charset val="238"/>
      </rPr>
      <t xml:space="preserve">2015 r. </t>
    </r>
    <r>
      <rPr>
        <sz val="10"/>
        <color indexed="8"/>
        <rFont val="Calibri"/>
        <family val="2"/>
        <charset val="238"/>
      </rPr>
      <t xml:space="preserve">-Przedstawiciele UMWW, Gmin , Sołectw w łącznej liczbie 539 osób. </t>
    </r>
    <r>
      <rPr>
        <b/>
        <sz val="10"/>
        <color indexed="8"/>
        <rFont val="Calibri"/>
        <family val="2"/>
        <charset val="238"/>
      </rPr>
      <t>2016 r.</t>
    </r>
    <r>
      <rPr>
        <sz val="10"/>
        <color indexed="8"/>
        <rFont val="Calibri"/>
        <family val="2"/>
        <charset val="238"/>
      </rPr>
      <t xml:space="preserve"> - liczba uczestników szkoleń, organizowanych w ramach Planu Komunikacyjnego oraz operacji własnych to 756 osób, natomiast liczba uczestników szkoleń, organizowanych w ramach projektów Partnerów KSOW to około 4543 osoby, liczba uczestników wizyt studyjnych to 56 osób,  Szkolenie -  Forum Kobiet; Szkolenie nt  możliwości pozyskania funduszy unijnych Ostrzeszów. </t>
    </r>
    <r>
      <rPr>
        <b/>
        <sz val="10"/>
        <color indexed="8"/>
        <rFont val="Calibri"/>
        <family val="2"/>
        <charset val="238"/>
      </rPr>
      <t>2017 r.</t>
    </r>
    <r>
      <rPr>
        <sz val="10"/>
        <color indexed="8"/>
        <rFont val="Calibri"/>
        <family val="2"/>
        <charset val="238"/>
      </rPr>
      <t xml:space="preserve"> 64 - członkowie LGD, 170 - gminy, powiaty, partnerzy KSOW, 119- osoby fizyczne i pracownicy UMWW, Szkolenia dla LGD dotyczace poddziałania 19.2 oraz dla beneficjentów w zakresie PZP - 226 osób, szkolenia/warsztaty oraz wyjazdy studyjne zgodne z PO (operacje własne) 100 osób, szkolenia/warsztay oraz wyjazdy studyjne organizoawne przez parterów KSOW - 767 osób oraz </t>
    </r>
    <r>
      <rPr>
        <sz val="10"/>
        <color theme="1"/>
        <rFont val="Calibri"/>
        <family val="2"/>
        <charset val="238"/>
      </rPr>
      <t xml:space="preserve">4 wyjazdy studyjne realizowane przez JR KSOW woj. wlkp. (do woj. świętokrzyskiego - 35, do Gminy Amtsberg - 22 osoby, do Brukseli dzień Św. Marcina - 6 osób (LGD) oraz wizyta dziennikarzy niemieckich w Wlkp. - 3 osoby). </t>
    </r>
  </si>
  <si>
    <r>
      <rPr>
        <b/>
        <sz val="11"/>
        <color theme="1"/>
        <rFont val="Calibri"/>
        <family val="2"/>
        <charset val="238"/>
        <scheme val="minor"/>
      </rPr>
      <t>Koszty funkcjonowania to</t>
    </r>
    <r>
      <rPr>
        <sz val="11"/>
        <color theme="1"/>
        <rFont val="Calibri"/>
        <family val="2"/>
        <charset val="238"/>
        <scheme val="minor"/>
      </rPr>
      <t xml:space="preserve">: </t>
    </r>
    <r>
      <rPr>
        <b/>
        <sz val="11"/>
        <color theme="1"/>
        <rFont val="Calibri"/>
        <family val="2"/>
        <charset val="238"/>
        <scheme val="minor"/>
      </rPr>
      <t>2015 rok</t>
    </r>
    <r>
      <rPr>
        <sz val="11"/>
        <color theme="1"/>
        <rFont val="Calibri"/>
        <family val="2"/>
        <charset val="238"/>
        <scheme val="minor"/>
      </rPr>
      <t xml:space="preserve"> - wynagrodzenia pracownicze oraz delegacje w ramach II Schematu PT PROW 2014-2020. </t>
    </r>
    <r>
      <rPr>
        <b/>
        <sz val="11"/>
        <color theme="1"/>
        <rFont val="Calibri"/>
        <family val="2"/>
        <charset val="238"/>
        <scheme val="minor"/>
      </rPr>
      <t>2016 rok</t>
    </r>
    <r>
      <rPr>
        <sz val="11"/>
        <color theme="1"/>
        <rFont val="Calibri"/>
        <family val="2"/>
        <charset val="238"/>
        <scheme val="minor"/>
      </rPr>
      <t xml:space="preserve"> - wynagrodzenia pracownicze oraz delegacje w ramach II Schematu PT PROW 2014-2020; </t>
    </r>
    <r>
      <rPr>
        <b/>
        <sz val="11"/>
        <color theme="1"/>
        <rFont val="Calibri"/>
        <family val="2"/>
        <charset val="238"/>
        <scheme val="minor"/>
      </rPr>
      <t>2017 rok</t>
    </r>
    <r>
      <rPr>
        <sz val="11"/>
        <color theme="1"/>
        <rFont val="Calibri"/>
        <family val="2"/>
        <charset val="238"/>
        <scheme val="minor"/>
      </rPr>
      <t xml:space="preserve"> - wynagrodzenia pracownicze oraz delegacje w ramach II Schematu PT PROW 2014-2020, przechowanie i ubezpieczenie przedmiotów z wikliny, koszty organizacji spotkań Wojewódzkiej GR oraz koszty udziału w Krajowej GR ds. KSOW.</t>
    </r>
  </si>
  <si>
    <r>
      <rPr>
        <b/>
        <sz val="15"/>
        <color theme="1"/>
        <rFont val="Calibri"/>
        <family val="2"/>
        <charset val="238"/>
        <scheme val="minor"/>
      </rPr>
      <t>KOMENTARZE dotyczące tabeli 8. Budżet sieci w EUR:</t>
    </r>
    <r>
      <rPr>
        <sz val="15"/>
        <color theme="1"/>
        <rFont val="Calibri"/>
        <family val="2"/>
        <charset val="238"/>
        <scheme val="minor"/>
      </rPr>
      <t xml:space="preserve"> Koszty związane z działalnością/ planem działania: w tym wydarzenia (ujęto koszty z zakresu Planu Komunikacyjnego, Planu Operacyjnego (operacje partnerów oraz operacje własne) bez kosztów szkoleń w ramach PK, które zawarte zostały w pozycji inne działania tab.3,4,5,6,7);Koszty wyjazdów studyjnych realizowanych przez Partnerów oraz JR KSOW woj. wlkp. zostały zawarte w poz. dotyczącej wydarzeń.  Koszty z zakresu działań komunikacji dotyczyły odpowiednio: Biuletynu informacyjnego "Nasza euroPROWincja", Monitora Wielkopolskiego, produkcji i emisji spotów telewizyjnych i radiowych oraz publikacji materiałów w prasie.</t>
    </r>
  </si>
  <si>
    <t>KSOW Województwa Zachodniopomorskiego</t>
  </si>
  <si>
    <t>Operacje własne o zasięgu krajowym w roku 2015: 1. Natura Food - 1 wydarzenie                                                                                                                                                                                                                      Operacje własne o zasięgu krajowym w roku 2016:
1. Dożynki prezydenckie w Spale - 1 wydarzenie, 2. Smaki Regionów - Poznań - 1 wydarzenie, 3. Natura Food - 1 wydarzenie. Operacje własne o zasięgu międzynarodowym: 1. Grune Woche 2016 - 1 wydarzenie.
Operacje własne o zasięgu międzynarodowym w roku 2017: 1. Grune Woche 2017- 1 wydarzenie, 9 wystawców i ok. 400 000 odwiedzających, 2. Finał Regat Tall Ship Races - 12 wystawców i ok. 300 000 odwiedzających, 3. Aleja Zachodniopomorskie Smaki podczas Festiwalu Słowian i Wikingów - 5 wystawców i ok. 10 000 odwiedzających.</t>
  </si>
  <si>
    <t>W przypadku imprez masowych, otwartych: Piknik nad Odrą, Jarmark Jakubowy, Święto Mleka i Zwierząt Hodowlanych organizowane przez Gminę Stare Czarnowo oraz Konkurs "Smaki Ryb Odrzańskich" w ramach Żabnickiego Lata z Rybką dane dot. liczby osób odwiedzających uzyskano do organizatorów. Liczby te to odpowiednio: 50000, 50000, 5000 i 1500 osób. Inne imprezy o charakterze masowym - liczba uczestników podawana na pdostawie informacji udostępnianych przez organizatorów.</t>
  </si>
  <si>
    <t>"Inne". Rok 2015 - ulotki informacyjne dotyczące działań wdrażanych w ramach PROW 2014-2020 w województwie zachodniopomorskim, listowniki oraz publikacja artykułu w czasopiśmie branżowym. Rok 2016: publikacja artykułu poświęconego działaniom PROW 2014-2020, druk ulotek poświęconych PROW 2014-2020 oraz listowników</t>
  </si>
  <si>
    <t>Wojewódzka Grupa Robocza ds. KSOW zajmuje się opiniowaniem projektów uchwał dotyczących całego zakresu działań KSOW.</t>
  </si>
  <si>
    <t>Koszty funkcjonowania w roku 2015: 157 339,37 zł. Koszty funkcjonowania w roku 2016: 209 766,89 zł. Koszty funkcjonowania w 2017: 215 674,28 zł</t>
  </si>
  <si>
    <t>Centrum Doradztwa Rolniczego</t>
  </si>
  <si>
    <r>
      <rPr>
        <b/>
        <sz val="10"/>
        <color indexed="8"/>
        <rFont val="Calibri"/>
        <family val="2"/>
        <charset val="238"/>
      </rPr>
      <t xml:space="preserve">Krajowy zasięg 2015: 
</t>
    </r>
    <r>
      <rPr>
        <sz val="10"/>
        <color indexed="8"/>
        <rFont val="Calibri"/>
        <family val="2"/>
        <charset val="238"/>
      </rPr>
      <t>Konferencja</t>
    </r>
    <r>
      <rPr>
        <b/>
        <sz val="10"/>
        <color indexed="8"/>
        <rFont val="Calibri"/>
        <family val="2"/>
        <charset val="238"/>
      </rPr>
      <t xml:space="preserve">
Międzynarodowy zasięg 2016:    </t>
    </r>
    <r>
      <rPr>
        <sz val="10"/>
        <color indexed="8"/>
        <rFont val="Calibri"/>
        <family val="2"/>
        <charset val="238"/>
      </rPr>
      <t xml:space="preserve">                                                                                                                                                                                                                                                                                    1. XXII Międzynarodowe Targi Techniki Rolniczej AGROTECH w Kielcach                                                                                                                                                                                        2. Centralna Wystawa Rolnicza w Monachium (Niemcy)                                                                                                                                                                                                                            3. Wyspa innowacji podczas Międzynarodowych targów rolniczych w Nadarzyńskim Ptaku                                                                                                                                                                                                                                                                                                                                                                                                  </t>
    </r>
    <r>
      <rPr>
        <b/>
        <sz val="10"/>
        <color indexed="8"/>
        <rFont val="Calibri"/>
        <family val="2"/>
        <charset val="238"/>
      </rPr>
      <t xml:space="preserve">Krajowy zasięg 2016:  </t>
    </r>
    <r>
      <rPr>
        <sz val="10"/>
        <color indexed="8"/>
        <rFont val="Calibri"/>
        <family val="2"/>
        <charset val="238"/>
      </rPr>
      <t xml:space="preserve">                                                                                                                                                                                                                                                                                                                 1. Wdrażanie innowacyjnych działań rolniczych przez członków Ogólnopolskiej Sieci Zagród Edukacyjnych.                                                                                                               2. Wyniki badań naukowych umożliwiajacych wprowadzenie nowoczesnych rozwiazań w gospodarstwie ekologicznym.                                                                      3. Praktyczne wykorzystanie badań naukowych we wdrożeniu innowacji w produkcji ogrodniczej.                                                                                                                  4. Nauka dla praktyki - innowacyjne rozwiazania dla ekologicznej produkcji rolnej.                                                                                                                                                          5. Innowacyjny rozwój energetyki prosumenckiej na obszarach wiejskich.                                                                                                                                                                       6. Innowacje w rolnictwie - kluczowe dla wsparcia inwestycji i konkurencyjności.                                                                                                                                                            7. Innowacyjne gospodarowanie zasobami wody w rolnictwie.                                                                                                                                                                                                               8. Forum wiedzy i innowacji. 
</t>
    </r>
    <r>
      <rPr>
        <b/>
        <sz val="10"/>
        <color indexed="8"/>
        <rFont val="Calibri"/>
        <family val="2"/>
        <charset val="238"/>
      </rPr>
      <t>Międzynarodowy zasięg 2017:</t>
    </r>
    <r>
      <rPr>
        <sz val="10"/>
        <color indexed="8"/>
        <rFont val="Calibri"/>
        <family val="2"/>
        <charset val="238"/>
      </rPr>
      <t xml:space="preserve">
1. XXIII Międzynarodowe Targi Techniki Rolniczej AGROTECH w Kielcach, 
</t>
    </r>
    <r>
      <rPr>
        <b/>
        <sz val="10"/>
        <color indexed="8"/>
        <rFont val="Calibri"/>
        <family val="2"/>
        <charset val="238"/>
      </rPr>
      <t>Krajowy zasięg 2017:</t>
    </r>
    <r>
      <rPr>
        <b/>
        <sz val="10"/>
        <color rgb="FFFF0000"/>
        <rFont val="Calibri"/>
        <family val="2"/>
        <charset val="238"/>
      </rPr>
      <t xml:space="preserve"> </t>
    </r>
    <r>
      <rPr>
        <sz val="10"/>
        <color rgb="FFFF0000"/>
        <rFont val="Calibri"/>
        <family val="2"/>
        <charset val="238"/>
      </rPr>
      <t xml:space="preserve">
</t>
    </r>
    <r>
      <rPr>
        <sz val="10"/>
        <rFont val="Calibri"/>
        <family val="2"/>
        <charset val="238"/>
      </rPr>
      <t>1. Innowacyjność obszarów wiejskich na terenach zurbanizowanych - konferencja
2. Praktyczne wykorzystanie wyników badań naukowych we wdrażaniu innowacji w produkcji ogrodniczej - konferencja
3. II Forum wiedzy i innowacji - konferencja
4. Szkolenie "Gospodarstwa opiekuńcze - budowanie sieci współpracy" - 1 szkolenie dla doradców, 48 szkoleń dla rolników
5. Szkolenie: Wykorzystanie innowacyjnych technologii w rolnictwie precyzyjnym - 2 szkolenia
6. Szkolenia: "Spotkania informacyjno-szkoleniowe dla pracowników WODR wykonujących zadania na rzecz SIR" - 2 szkolenia
7. Szkolenia: "Partnerstwo dla rozwoju" - 2 szkolenia</t>
    </r>
  </si>
  <si>
    <r>
      <rPr>
        <b/>
        <sz val="10"/>
        <color indexed="8"/>
        <rFont val="Calibri"/>
        <family val="2"/>
        <charset val="238"/>
      </rPr>
      <t xml:space="preserve">Międzynarodowy zasięg 2016:   </t>
    </r>
    <r>
      <rPr>
        <sz val="10"/>
        <color indexed="8"/>
        <rFont val="Calibri"/>
        <family val="2"/>
        <charset val="238"/>
      </rPr>
      <t xml:space="preserve">                                                                                                                                                                                                                                                                                              1. 64330 to liczba odwiedzających XII Międzynarodowe Targi Techniki Rolniczej AGROTECH w Kielcach (źródło: http://www.targikielce.pl/pl/agrotech.htm) - dotyczy stoiska Wiedza i innowacje, 
2. 2.700 sztuk ulotek opisujących SIR rozdanych podczas Centralnej Wystawy Rolniczej w Monachium,                                                                                                                           3. Wyspa innowacji podczas Międzynarodowych targów rolniczych w Nadarzyńskim Ptaku - brak danych dotyczących liczby odwiedzających - nawiązano kontakty z 20 wystawcami (cel: zachęcenie do rejestracji w bazie Partnerów SIR, przedstawienie możliwości realizacji oporacji w ramach PO - Działanie 5, zachęcenie do przystąpienia do Działania "Współpraca")                                                                                                                                                                                                             </t>
    </r>
    <r>
      <rPr>
        <b/>
        <sz val="10"/>
        <color indexed="8"/>
        <rFont val="Calibri"/>
        <family val="2"/>
        <charset val="238"/>
      </rPr>
      <t xml:space="preserve">Krajowy zasięg 2016:  </t>
    </r>
    <r>
      <rPr>
        <sz val="10"/>
        <color indexed="8"/>
        <rFont val="Calibri"/>
        <family val="2"/>
        <charset val="238"/>
      </rPr>
      <t xml:space="preserve">                                                                                                                                                                                                                                                                                                                 1. Wdrażanie innowacyjnych działań rolniczych przez członków Ogólnopolskiej Sieci Zagród Edukacyjnych - 270 uczestników                                                                                                            2. Wyniki badań naukowych umożliwiajacych wprowadzenie nowoczesnych rozwiazań w gospodarstwie ekologicznym - 55 uczestników                                                                      3. Praktyczne wykorzystanie badań naukowych we wdrożeniu innowacji w produkcji ogrodniczej - 55 uczestników                                                                                                                  4. Nauka dla praktyki - innowacyjne rozwiazania dla ekologicznej produkcji rolnej - 94 uczestników                                                                                                                                                         5. Innowacyjny rozwój energetyki prosumenckiej na obszarach wiejskich - 70 uczestników                                                                                                                                                                       6. Innowacje w rolnictwie - kluczowe dla wsparcia inwestycji i konkurencyjności - 235 uczestników                                                                                                                                                            7. Innowacyjne gospodarowanie zasobami wody w rolnictwie - 220 uczestników                                                                                                                                                                                                              8. Forum wiedzy i innowacji - 220 uczestników  
</t>
    </r>
    <r>
      <rPr>
        <b/>
        <sz val="10"/>
        <color indexed="8"/>
        <rFont val="Calibri"/>
        <family val="2"/>
        <charset val="238"/>
      </rPr>
      <t xml:space="preserve">Międzynarodowy zasięg 2017:  
1. </t>
    </r>
    <r>
      <rPr>
        <sz val="10"/>
        <color indexed="8"/>
        <rFont val="Calibri"/>
        <family val="2"/>
        <charset val="238"/>
      </rPr>
      <t xml:space="preserve">XXIII Międzynarodowe Targi Techniki Rolniczej AGROTECH w Kielcach - informacja o liczbie odwiedzających targi pobrana ze strony http://www.targikielce.pl/pl/agrotech.htm
</t>
    </r>
    <r>
      <rPr>
        <b/>
        <sz val="10"/>
        <color indexed="8"/>
        <rFont val="Calibri"/>
        <family val="2"/>
        <charset val="238"/>
      </rPr>
      <t xml:space="preserve">Krajowy zasięg 2017:  </t>
    </r>
    <r>
      <rPr>
        <sz val="10"/>
        <color indexed="8"/>
        <rFont val="Calibri"/>
        <family val="2"/>
        <charset val="238"/>
      </rPr>
      <t xml:space="preserve">
1. Innowacyjność obszarów wiejskich na terenach zurbanizowanych - konferencja - 259 uczestników ,
2. Praktyczne wykorzystanie wyników badań naukowych we wdrażaniu innowacji w produkcji ogrodniczej - konferencja - 58 uczestników 
3. II Forum wiedzy i innowacji - konferencja - 186 uczestników 
4. Szkolenie "Gospodarstwa opiekuńcze - budowanie sieci współpracy" - 1 szkolenie dla doradców, 48 szkoleń dla rolników
5. Szkolenie: Wykorzystanie innowacyjnych technologii w rolnictwie precyzyjnym - 2 szkolenia
6. Szkolenia: "Spotkania informacyjno-szkoleniowe dla pracowników WODR wykonujących zadania na rzecz SIR" - 2 szkolenia
7. Szkolenia: "Partnerstwo dla rozwoju" - 2 szkolenia    </t>
    </r>
  </si>
  <si>
    <t>Strona internetowa CDR nie daje możliwości sprawdzenia liczby unikalnych użytkowników strony</t>
  </si>
  <si>
    <t xml:space="preserve">Strona WWW nie daje możliwości sprawdzenia liczby  odwiedzin na stronie przekierowanych łącznie ze wszystkich mediów społecznościowych </t>
  </si>
  <si>
    <r>
      <rPr>
        <b/>
        <sz val="10"/>
        <color theme="1"/>
        <rFont val="Calibri"/>
        <family val="2"/>
        <charset val="238"/>
        <scheme val="minor"/>
      </rPr>
      <t>2016 rok</t>
    </r>
    <r>
      <rPr>
        <sz val="10"/>
        <color theme="1"/>
        <rFont val="Calibri"/>
        <family val="2"/>
        <charset val="238"/>
        <scheme val="minor"/>
      </rPr>
      <t xml:space="preserve"> - 148 artykułów - przetłumaczonych broszur EIP-AGRI - opublikowanych na Facebook (planowane wydanie broszury naich podstawie),  , ulotka 35000 szt. - dystrybuowana na terenie całego kraju podczas operacji realizowanych przez CDR i WODR oraz druk 7000 szt. tych samych ulotek w języku niemieckim (cel: dystrybucja podczas targów w Monachium) , 2 artykuły opublikowane e-biuletynie CDR;
</t>
    </r>
    <r>
      <rPr>
        <b/>
        <sz val="10"/>
        <color theme="1"/>
        <rFont val="Calibri"/>
        <family val="2"/>
        <charset val="238"/>
        <scheme val="minor"/>
      </rPr>
      <t xml:space="preserve">2017 rok: </t>
    </r>
    <r>
      <rPr>
        <sz val="10"/>
        <color theme="1"/>
        <rFont val="Calibri"/>
        <family val="2"/>
        <charset val="238"/>
        <scheme val="minor"/>
      </rPr>
      <t xml:space="preserve">
1. 65 artykułów opublikowanych na zakładce SIR (cdr.gov.pl) - funkcjonowanie, 
2. Ulotka (3000 egz.) - Idea i zasady tworzenia gospodarstw opiekuńczych na bazie gospodarstw rolnych </t>
    </r>
    <r>
      <rPr>
        <sz val="10"/>
        <rFont val="Calibri"/>
        <family val="2"/>
        <charset val="238"/>
        <scheme val="minor"/>
      </rPr>
      <t>(koszt poniesiony w ramach operacji "Gospodarstwa opiekuńcze..." - szkolenie)</t>
    </r>
    <r>
      <rPr>
        <sz val="10"/>
        <color theme="1"/>
        <rFont val="Calibri"/>
        <family val="2"/>
        <charset val="238"/>
        <scheme val="minor"/>
      </rPr>
      <t xml:space="preserve">
3. Broszura (2000 egz.) - Idea rolnictwa społecznego oraz wypracowanej przez CDR/O/Kraków koncepcji gospodarstw opiekuńczych (</t>
    </r>
    <r>
      <rPr>
        <sz val="10"/>
        <rFont val="Calibri"/>
        <family val="2"/>
        <charset val="238"/>
        <scheme val="minor"/>
      </rPr>
      <t>koszt poniesiony w ramach operacji "Gospodarstwa opiekuńcze... - szkolenie)</t>
    </r>
    <r>
      <rPr>
        <sz val="10"/>
        <color theme="1"/>
        <rFont val="Calibri"/>
        <family val="2"/>
        <charset val="238"/>
        <scheme val="minor"/>
      </rPr>
      <t xml:space="preserve">
4. Publikacja naukowa (300 egz.) "Innowacyjne metody gospodarowania zasobami wody w rolnictwie" - (w ramach kosztu konferencji o tym samym tytule)
5. Broszura (250 egz.) - Innowacyjność obszarów wiejskich na terenach zurbanizowanych (w ramach kosztu konferencji o tym samym tytule)
6. broszura (35.000 egz.) - Razem możemy więcej - działanie Współpraca w ramach PROW na lata 2014-2020 (10947,00 zł),
</t>
    </r>
  </si>
  <si>
    <t>2017: 
zmotowano 8 filmów w ramach operacji pn. Nowoczesność w rolnictwie. Były 2-krotnie emitowane w TVP po Agrobiznesie, oglądalność na poziomie 7,3 mln, dodatkowo filmy, o których mowa zostały nagrane na 1200 płytach DVD, które są sukcesywnie rozpowszechniane oraz udostępnione na kanale YouTube</t>
  </si>
  <si>
    <r>
      <rPr>
        <b/>
        <sz val="10"/>
        <color theme="1"/>
        <rFont val="Calibri"/>
        <family val="2"/>
        <charset val="238"/>
        <scheme val="minor"/>
      </rPr>
      <t>2016 rok:</t>
    </r>
    <r>
      <rPr>
        <sz val="10"/>
        <color theme="1"/>
        <rFont val="Calibri"/>
        <family val="2"/>
        <charset val="238"/>
        <scheme val="minor"/>
      </rPr>
      <t xml:space="preserve">
1. Badania sondażowe w ramach operacji "Kreowanie partnerstwa w ramach KSOW dla działania Współpraca PROW 2014-2020".
2. Operacja pn "Nowe problemy identyfikowane przez rolników w rolnictwie i na obszarach wiejskicjh - diagnoza obszarów problemowych oraz możliwości podejmowania wspólnych działań na rzecz tworzenia innowacyjnych rozwiazań w ramach działania Współpraca"
</t>
    </r>
    <r>
      <rPr>
        <b/>
        <sz val="10"/>
        <color theme="1"/>
        <rFont val="Calibri"/>
        <family val="2"/>
        <charset val="238"/>
        <scheme val="minor"/>
      </rPr>
      <t>2017 rok:</t>
    </r>
    <r>
      <rPr>
        <sz val="10"/>
        <color theme="1"/>
        <rFont val="Calibri"/>
        <family val="2"/>
        <charset val="238"/>
        <scheme val="minor"/>
      </rPr>
      <t xml:space="preserve">
1. Badanie sądażowe realizowane w ramach operacji "Gospodarstwa opiekuńcze - budowanie sieci współpracy" (koszt ujęty w 6)
</t>
    </r>
  </si>
  <si>
    <t>2016:
PRZETŁUMACZONO 148 ARTYKUŁÓW  (200 STRON)  ŚCIĄGNIĘTYCH ZE STRONY INTERNETOWEJ EIP AGRI I ROZPOWSZECHNIONO ……
2017:
Przetłumaczono broszury, magazyny oraz factsheet dostępne na stronie internetowej EIP-AGRI, które zostały przekazane do EIP-AGRI celem dostosowania layaut'ów polskich do opublikowanych przez EIP-AGRI. Polskie wersje magazynów i broszór mają być zamieszczone na stronie EIP-AGRI zaś factsheet's będą rozpowszechnione przy pomocy forów internetowych - 25 szt.</t>
  </si>
  <si>
    <r>
      <t xml:space="preserve"> AD. F180: "Wykorzystanie innowacji w gospodarstwie rolnym w zakresie ochrony środowiska" składała się z 2-ch wydarzeń, z której każda składała się ze szkolenia i wyjazdu studyjnego; "Od zaradności do przedsiębiorczości" składała się ze szkolenia 1-dniowego i 2-dniowego wyjazdu studyjnego, "Innowacje w rolnictwie - upowszechnienie badań naukowych i przykłady wdrożeń" dwa szkolenia z wyjazdami studyjnymi. AD G180: LICZBA DNI SZKOLENIOWYCH 17, LICZBA DNI OBEJMUJĄCYCH WYJAZDY STUDYJNE 16 DNI;
</t>
    </r>
    <r>
      <rPr>
        <b/>
        <sz val="10"/>
        <color theme="1"/>
        <rFont val="Calibri"/>
        <family val="2"/>
        <charset val="238"/>
        <scheme val="minor"/>
      </rPr>
      <t>2017 rok:</t>
    </r>
    <r>
      <rPr>
        <sz val="10"/>
        <color rgb="FFFF0000"/>
        <rFont val="Calibri"/>
        <family val="2"/>
        <charset val="238"/>
        <scheme val="minor"/>
      </rPr>
      <t xml:space="preserve">
</t>
    </r>
    <r>
      <rPr>
        <sz val="10"/>
        <rFont val="Calibri"/>
        <family val="2"/>
        <charset val="238"/>
        <scheme val="minor"/>
      </rPr>
      <t xml:space="preserve">1. Szkolenie "Gospodarstwa opiekuńcze - budowanie sieci współpracy" - w I etapie podczas </t>
    </r>
    <r>
      <rPr>
        <b/>
        <sz val="10"/>
        <rFont val="Calibri"/>
        <family val="2"/>
        <charset val="238"/>
        <scheme val="minor"/>
      </rPr>
      <t>3-dniowego szkolenia</t>
    </r>
    <r>
      <rPr>
        <sz val="10"/>
        <rFont val="Calibri"/>
        <family val="2"/>
        <charset val="238"/>
        <scheme val="minor"/>
      </rPr>
      <t xml:space="preserve"> przeszkolono 40 doradców rolnych, którzy w II etapie przeprowadzili</t>
    </r>
    <r>
      <rPr>
        <b/>
        <sz val="10"/>
        <rFont val="Calibri"/>
        <family val="2"/>
        <charset val="238"/>
        <scheme val="minor"/>
      </rPr>
      <t xml:space="preserve"> 48 szkoleń 1-dniowych</t>
    </r>
    <r>
      <rPr>
        <sz val="10"/>
        <rFont val="Calibri"/>
        <family val="2"/>
        <charset val="238"/>
        <scheme val="minor"/>
      </rPr>
      <t xml:space="preserve"> we wszystkich województwach, w których wzieło udział 988 osób (rolnicy),
2. Szkolenia z wyjazdem studyjnym: Wykorzystanie innowacji w gospodarstwie rolnym w zakresie ochrony środowiska -  </t>
    </r>
    <r>
      <rPr>
        <b/>
        <sz val="10"/>
        <rFont val="Calibri"/>
        <family val="2"/>
        <charset val="238"/>
        <scheme val="minor"/>
      </rPr>
      <t>2 szkolenia 2-dniowe</t>
    </r>
    <r>
      <rPr>
        <sz val="10"/>
        <rFont val="Calibri"/>
        <family val="2"/>
        <charset val="238"/>
        <scheme val="minor"/>
      </rPr>
      <t xml:space="preserve"> (15 doradców rolnych, 3 - LGD, 32 inna grupa mieszana),
3. Szkolenia z wyjazdem studyjnym: Innowacje w rolnictwie - upowszechnienie badań naukowych i przykłady wdrożeń - </t>
    </r>
    <r>
      <rPr>
        <b/>
        <sz val="10"/>
        <rFont val="Calibri"/>
        <family val="2"/>
        <charset val="238"/>
        <scheme val="minor"/>
      </rPr>
      <t>2 szkolenia 2-dniowe</t>
    </r>
    <r>
      <rPr>
        <sz val="10"/>
        <rFont val="Calibri"/>
        <family val="2"/>
        <charset val="238"/>
        <scheme val="minor"/>
      </rPr>
      <t xml:space="preserve"> (20 doradców rolnych, 29 inna grupa)
4. Szkolenie: Wykorzystanie innowacyjnych technologii w rolnictwie precyzyjnym - </t>
    </r>
    <r>
      <rPr>
        <b/>
        <sz val="10"/>
        <rFont val="Calibri"/>
        <family val="2"/>
        <charset val="238"/>
        <scheme val="minor"/>
      </rPr>
      <t>2 dni</t>
    </r>
    <r>
      <rPr>
        <sz val="10"/>
        <rFont val="Calibri"/>
        <family val="2"/>
        <charset val="238"/>
        <scheme val="minor"/>
      </rPr>
      <t xml:space="preserve"> (25 doradców, 21 inni),
5. Szkolenia: "Spotkania informacyjno-szkoleniowe dla pracowników WODR wykonujących zadania na rzecz SIR" -</t>
    </r>
    <r>
      <rPr>
        <b/>
        <sz val="10"/>
        <rFont val="Calibri"/>
        <family val="2"/>
        <charset val="238"/>
        <scheme val="minor"/>
      </rPr>
      <t xml:space="preserve"> 2 szkolenia/2 i 3 dni </t>
    </r>
    <r>
      <rPr>
        <sz val="10"/>
        <rFont val="Calibri"/>
        <family val="2"/>
        <charset val="238"/>
        <scheme val="minor"/>
      </rPr>
      <t xml:space="preserve">(65 pracowników SIR, 1 - inna grupa - księgowa z KPODR),
6. Szkolenia: "Partnerstwo dla rozwoju" - </t>
    </r>
    <r>
      <rPr>
        <b/>
        <sz val="10"/>
        <rFont val="Calibri"/>
        <family val="2"/>
        <charset val="238"/>
        <scheme val="minor"/>
      </rPr>
      <t>2 szkolenia 3-dniowe</t>
    </r>
    <r>
      <rPr>
        <sz val="10"/>
        <rFont val="Calibri"/>
        <family val="2"/>
        <charset val="238"/>
        <scheme val="minor"/>
      </rPr>
      <t xml:space="preserve"> (13 doradców rolnych, LGD - 3, 89 inna grupa)
7. Szkolenie z wyjazdem studyjnym: "Współpraca podmiotów sfery B+R oraz publicznego doradztwa rolniczego na rzecz tworzenia i upowszechniania innowacji rolniczych" -</t>
    </r>
    <r>
      <rPr>
        <b/>
        <sz val="10"/>
        <rFont val="Calibri"/>
        <family val="2"/>
        <charset val="238"/>
        <scheme val="minor"/>
      </rPr>
      <t xml:space="preserve"> 3 dni</t>
    </r>
    <r>
      <rPr>
        <sz val="10"/>
        <rFont val="Calibri"/>
        <family val="2"/>
        <charset val="238"/>
        <scheme val="minor"/>
      </rPr>
      <t xml:space="preserve"> (20 doradców, 13 przedstawicieli nauki),
8. Wyjazd studyjny: "Możliwości wymiany wiedzy na temat nowoczesnych rozwiązań organizacyjnych i technologicznych między doradcami i rolnikami z zakresu działań środowiskowych, stosowanych w wybranych krajach - </t>
    </r>
    <r>
      <rPr>
        <b/>
        <sz val="10"/>
        <rFont val="Calibri"/>
        <family val="2"/>
        <charset val="238"/>
        <scheme val="minor"/>
      </rPr>
      <t xml:space="preserve">5 dni </t>
    </r>
    <r>
      <rPr>
        <sz val="10"/>
        <rFont val="Calibri"/>
        <family val="2"/>
        <charset val="238"/>
        <scheme val="minor"/>
      </rPr>
      <t xml:space="preserve">(30 doradców, 2 rolników),
9. Wyjazd studyjny: Innowacyjne rozwiązania w uprawach ekologicznych oraz w produkcji zwierzęcej wdrażane w ekologicznych gospodarstwach demonstracyjnych - </t>
    </r>
    <r>
      <rPr>
        <b/>
        <sz val="10"/>
        <rFont val="Calibri"/>
        <family val="2"/>
        <charset val="238"/>
        <scheme val="minor"/>
      </rPr>
      <t xml:space="preserve">4 dni </t>
    </r>
    <r>
      <rPr>
        <sz val="10"/>
        <rFont val="Calibri"/>
        <family val="2"/>
        <charset val="238"/>
        <scheme val="minor"/>
      </rPr>
      <t>(25 doradców, 5 inna grupa),</t>
    </r>
    <r>
      <rPr>
        <sz val="10"/>
        <color rgb="FFC00000"/>
        <rFont val="Calibri"/>
        <family val="2"/>
        <charset val="238"/>
        <scheme val="minor"/>
      </rPr>
      <t xml:space="preserve">
</t>
    </r>
  </si>
  <si>
    <r>
      <t xml:space="preserve">
</t>
    </r>
    <r>
      <rPr>
        <sz val="10"/>
        <color indexed="8"/>
        <rFont val="Calibri"/>
        <family val="2"/>
        <charset val="238"/>
      </rPr>
      <t xml:space="preserve">Uczestnikami operacji były osoby z całej Polski, nie można ich zakwalifikować jako lokalnych Partnerów, można wśród nich wymienić rolników, przedsiębiorców, nauczycieli szkół rolniczych, przedstawicieli uczelni i instytutów naukowych jak również osoby fizyczne zamierzające zainwestować w gospodarstwo rolne (L191, L192). Szczegółowy wykaz w komentarzu 6.1
</t>
    </r>
    <r>
      <rPr>
        <b/>
        <sz val="10"/>
        <color indexed="8"/>
        <rFont val="Calibri"/>
        <family val="2"/>
        <charset val="238"/>
      </rPr>
      <t/>
    </r>
  </si>
  <si>
    <r>
      <rPr>
        <b/>
        <sz val="11"/>
        <color theme="1"/>
        <rFont val="Calibri"/>
        <family val="2"/>
        <charset val="238"/>
        <scheme val="minor"/>
      </rPr>
      <t>2015:</t>
    </r>
    <r>
      <rPr>
        <sz val="11"/>
        <color theme="1"/>
        <rFont val="Calibri"/>
        <family val="2"/>
        <charset val="238"/>
        <scheme val="minor"/>
      </rPr>
      <t xml:space="preserve"> Wynagrodzenia pracownikiów wraz z kosztami pracodawcy; Materiały, energia, remont, usł. kateringowa, sprzątanie pomieszczeń, usł. telekomunikacyjne, podróże służbowe, organizacja spotkań szkoleniowo-informacyjnych dla koordynatorów pracowników WODR wykonujących działania na rzecz SIR, ochrona, ZFŚS, zakup sprzętu komputerowego</t>
    </r>
    <r>
      <rPr>
        <b/>
        <sz val="11"/>
        <color theme="1"/>
        <rFont val="Calibri"/>
        <family val="2"/>
        <charset val="238"/>
        <scheme val="minor"/>
      </rPr>
      <t xml:space="preserve">
2016: </t>
    </r>
    <r>
      <rPr>
        <sz val="11"/>
        <color theme="1"/>
        <rFont val="Calibri"/>
        <family val="2"/>
        <charset val="238"/>
        <scheme val="minor"/>
      </rPr>
      <t xml:space="preserve">Wynagrodzenia pracownikiów wraz z kosztami pracodawcy; Materiały, energia, remont, usł. kateringowa, wynajem mikrofonu bezprzewod., sprzątanie pomieszczeń, usł. telekomunikacyjne, podróże służbowe, organizacja spotkań szkoleniowo-informacyjnych dla koordynatorów pracowników WODR wykonujących działania na rzecz SIR, ochrona.
</t>
    </r>
    <r>
      <rPr>
        <b/>
        <sz val="11"/>
        <color theme="1"/>
        <rFont val="Calibri"/>
        <family val="2"/>
        <charset val="238"/>
        <scheme val="minor"/>
      </rPr>
      <t>2017:</t>
    </r>
    <r>
      <rPr>
        <sz val="11"/>
        <color theme="1"/>
        <rFont val="Calibri"/>
        <family val="2"/>
        <charset val="238"/>
        <scheme val="minor"/>
      </rPr>
      <t xml:space="preserve">  Jak w 2016 roku, dodatkowo: wynajem samochodu, kursy języka angielskiego dla pracowników, kurs z Pzp, zakup: aparatu fotograficznego, dyktafonu, 4 roll-up'ów promujących Sieć. </t>
    </r>
  </si>
  <si>
    <r>
      <rPr>
        <b/>
        <sz val="11"/>
        <color theme="1"/>
        <rFont val="Calibri"/>
        <family val="2"/>
        <charset val="238"/>
        <scheme val="minor"/>
      </rPr>
      <t xml:space="preserve">SZCZEGÓŁOWE INFORMACJE DOTYCZĄCE ROZBIEŻNOŚCI W KWOCIE MIĘDZY ZAŁ. 1 i 2 DO SPRAWOZDANIA W ROKU 2016: 
</t>
    </r>
    <r>
      <rPr>
        <sz val="11"/>
        <color theme="1"/>
        <rFont val="Calibri"/>
        <family val="2"/>
        <charset val="238"/>
        <scheme val="minor"/>
      </rPr>
      <t>w Planie Operacyjnym na lata 2016-2017 ujęte są operacje obejmujace swoim zasięgiem 2 lata, są to operacje etapowe, składające się z kilku szkoleń, kilku wyjazdów studyjnych bądź konferencji i publikacji pokonferencyjnej. Operacje, o których mowa, a które ujęte są w zał. nr 1 zapisane są w operacjach częściowo zrealizowanych, to:
1.</t>
    </r>
    <r>
      <rPr>
        <sz val="11"/>
        <rFont val="Calibri"/>
        <family val="2"/>
        <charset val="238"/>
        <scheme val="minor"/>
      </rPr>
      <t xml:space="preserve"> Szkolenie z wyjazdem studyjnym: "Wykorzystanie innowacji w gospodarstwie rolnym w zakresie ochrony środowiska" - odbyły się 3 szkolenia z wyjazdam studyjnym z planowanych 4, przy czym 4 etap w trakcie realizacji </t>
    </r>
    <r>
      <rPr>
        <sz val="11"/>
        <color theme="1"/>
        <rFont val="Calibri"/>
        <family val="2"/>
        <charset val="238"/>
        <scheme val="minor"/>
      </rPr>
      <t xml:space="preserve">
2. Szkolenie z wyjazdem studyjnym - zrealizowane dwa etapy w 2016 r.</t>
    </r>
    <r>
      <rPr>
        <sz val="11"/>
        <color theme="1"/>
        <rFont val="Calibri"/>
        <family val="2"/>
        <charset val="238"/>
        <scheme val="minor"/>
      </rPr>
      <t xml:space="preserve">
3. Konferencja i publikacja pn. "Innowacyjne metody gospodarowania zasobami wody w rolnictwie" - konfrencja zrealizowana w 2016 roku, publikacja w trakcie realizacji </t>
    </r>
    <r>
      <rPr>
        <sz val="11"/>
        <color theme="1"/>
        <rFont val="Calibri"/>
        <family val="2"/>
        <charset val="238"/>
        <scheme val="minor"/>
      </rPr>
      <t xml:space="preserve">
4. Szkolenie z wyjazdem studyjnym pn. "Rolnictwo precyzyjne..." - 2-u etapowe, 1 etap zakończony </t>
    </r>
    <r>
      <rPr>
        <sz val="11"/>
        <color theme="1"/>
        <rFont val="Calibri"/>
        <family val="2"/>
        <charset val="238"/>
        <scheme val="minor"/>
      </rPr>
      <t xml:space="preserve">
</t>
    </r>
  </si>
  <si>
    <t>Dolnośląski Ośrodek Doradztwa Rolniczego</t>
  </si>
  <si>
    <r>
      <rPr>
        <b/>
        <sz val="10"/>
        <color indexed="8"/>
        <rFont val="Calibri"/>
        <family val="2"/>
        <charset val="238"/>
      </rPr>
      <t xml:space="preserve">2015 </t>
    </r>
    <r>
      <rPr>
        <sz val="10"/>
        <color indexed="8"/>
        <rFont val="Calibri"/>
        <family val="2"/>
        <charset val="238"/>
      </rPr>
      <t xml:space="preserve">- Organizacja 2 spotkań informacyjno-aktywizujących na terenie województwa dolnosląskiego (teren powiatu kłodzkiego i jeleniogórskiego).
</t>
    </r>
    <r>
      <rPr>
        <b/>
        <sz val="10"/>
        <color indexed="8"/>
        <rFont val="Calibri"/>
        <family val="2"/>
        <charset val="238"/>
      </rPr>
      <t>2016</t>
    </r>
    <r>
      <rPr>
        <sz val="10"/>
        <color indexed="8"/>
        <rFont val="Calibri"/>
        <family val="2"/>
        <charset val="238"/>
      </rPr>
      <t xml:space="preserve"> - Punkty informacyjne SIR podczas imprez organizowanych przez DODR.
</t>
    </r>
    <r>
      <rPr>
        <b/>
        <sz val="10"/>
        <color indexed="8"/>
        <rFont val="Calibri"/>
        <family val="2"/>
        <charset val="238"/>
      </rPr>
      <t xml:space="preserve">2017 </t>
    </r>
    <r>
      <rPr>
        <sz val="10"/>
        <color indexed="8"/>
        <rFont val="Calibri"/>
        <family val="2"/>
        <charset val="238"/>
      </rPr>
      <t>- Punkty informacyjno-promocyjne SIR podczas imprez, szkoleń, wyjazdów szkoleniowych, seminariów i konferencji organizowanych/współorganizowanych przez DODR.</t>
    </r>
  </si>
  <si>
    <r>
      <rPr>
        <b/>
        <sz val="10"/>
        <color indexed="8"/>
        <rFont val="Calibri"/>
        <family val="2"/>
        <charset val="238"/>
      </rPr>
      <t>2016</t>
    </r>
    <r>
      <rPr>
        <sz val="10"/>
        <color indexed="8"/>
        <rFont val="Calibri"/>
        <family val="2"/>
        <charset val="238"/>
      </rPr>
      <t xml:space="preserve"> - Szacowana liczba osób odwiedzająca imprezy organizowane przez DODR, na których zorganizowano punkty informacyjne SIR.
</t>
    </r>
    <r>
      <rPr>
        <b/>
        <sz val="10"/>
        <color indexed="8"/>
        <rFont val="Calibri"/>
        <family val="2"/>
        <charset val="238"/>
      </rPr>
      <t xml:space="preserve">2017 </t>
    </r>
    <r>
      <rPr>
        <sz val="10"/>
        <color indexed="8"/>
        <rFont val="Calibri"/>
        <family val="2"/>
        <charset val="238"/>
      </rPr>
      <t>-  Szacowana liczba osób podczas imprez, szkoleń, wyjazdów szkoleniowych, seminariów i konferencji organizowanych/współorganizowanych przez DODR, na których zorganizowano punkty informacyjno-promocyjne SIR.</t>
    </r>
  </si>
  <si>
    <r>
      <rPr>
        <b/>
        <sz val="10"/>
        <color theme="1"/>
        <rFont val="Calibri"/>
        <family val="2"/>
        <charset val="238"/>
        <scheme val="minor"/>
      </rPr>
      <t xml:space="preserve">2016 </t>
    </r>
    <r>
      <rPr>
        <sz val="10"/>
        <color theme="1"/>
        <rFont val="Calibri"/>
        <family val="2"/>
        <charset val="238"/>
        <scheme val="minor"/>
      </rPr>
      <t xml:space="preserve">- Zamieszczono 26 informacji na temat  wydarzeń i spotkań dotyczących SIR.
</t>
    </r>
    <r>
      <rPr>
        <b/>
        <sz val="10"/>
        <color theme="1"/>
        <rFont val="Calibri"/>
        <family val="2"/>
        <charset val="238"/>
        <scheme val="minor"/>
      </rPr>
      <t>2017</t>
    </r>
    <r>
      <rPr>
        <sz val="10"/>
        <color theme="1"/>
        <rFont val="Calibri"/>
        <family val="2"/>
        <charset val="238"/>
        <scheme val="minor"/>
      </rPr>
      <t xml:space="preserve"> - Zamieszczono 41 artykułów/informacji na temat wydarzeń, spotkań, działań w ramach SIR.
*Liczba użytkowników strony.</t>
    </r>
  </si>
  <si>
    <t>*</t>
  </si>
  <si>
    <t>Liczba fanów na facebooku*</t>
  </si>
  <si>
    <t>Liczba postów na facebooku (wliczając udostępnienia)**</t>
  </si>
  <si>
    <r>
      <rPr>
        <b/>
        <sz val="10"/>
        <color theme="1"/>
        <rFont val="Calibri"/>
        <family val="2"/>
        <charset val="238"/>
        <scheme val="minor"/>
      </rPr>
      <t>2017</t>
    </r>
    <r>
      <rPr>
        <sz val="10"/>
        <color theme="1"/>
        <rFont val="Calibri"/>
        <family val="2"/>
        <charset val="238"/>
        <scheme val="minor"/>
      </rPr>
      <t xml:space="preserve"> -  Artykuły/informacje zamieszczane na portalu społecznościowym Facebook administrowanym przez CDR w Brwinowie. 
* Liczba lajków pod artykułami/informacjami przesłanymi przez DODR we Wrocławiu.
** Liczba postów: 25, liczba udostępnień: 9.</t>
    </r>
  </si>
  <si>
    <r>
      <rPr>
        <b/>
        <sz val="10"/>
        <color theme="1"/>
        <rFont val="Calibri"/>
        <family val="2"/>
        <charset val="238"/>
        <scheme val="minor"/>
      </rPr>
      <t>2015</t>
    </r>
    <r>
      <rPr>
        <sz val="10"/>
        <color theme="1"/>
        <rFont val="Calibri"/>
        <family val="2"/>
        <charset val="238"/>
        <scheme val="minor"/>
      </rPr>
      <t xml:space="preserve"> - Zamieszczono bezplatną informację nt. SIR w czasopiśmie Twój Doradca Rolniczy Rynek w miesiącu listopad i grudzień 2015 r. (nakład 3 400 egz.)
</t>
    </r>
    <r>
      <rPr>
        <b/>
        <sz val="10"/>
        <color theme="1"/>
        <rFont val="Calibri"/>
        <family val="2"/>
        <charset val="238"/>
        <scheme val="minor"/>
      </rPr>
      <t>2016</t>
    </r>
    <r>
      <rPr>
        <sz val="10"/>
        <color theme="1"/>
        <rFont val="Calibri"/>
        <family val="2"/>
        <charset val="238"/>
        <scheme val="minor"/>
      </rPr>
      <t xml:space="preserve"> - 8 artykułów i 11 informacji - zaproszeń do współpracyw ramach SIR zamieszczonych w miesięczniku DODR Twój Doradca Rolniczy Rynek (nakład 3 300 egz.).
</t>
    </r>
    <r>
      <rPr>
        <b/>
        <sz val="10"/>
        <color theme="1"/>
        <rFont val="Calibri"/>
        <family val="2"/>
        <charset val="238"/>
        <scheme val="minor"/>
      </rPr>
      <t xml:space="preserve">2017 </t>
    </r>
    <r>
      <rPr>
        <sz val="10"/>
        <color theme="1"/>
        <rFont val="Calibri"/>
        <family val="2"/>
        <charset val="238"/>
        <scheme val="minor"/>
      </rPr>
      <t xml:space="preserve">- 29 artykułów i 12 informacji - zaproszeń do współpracy wramach SIR zamieszczonych w miesięczniku DODR Twój Doradca Rolniczy Rynek (nakład 3 300 egz.).
</t>
    </r>
    <r>
      <rPr>
        <b/>
        <sz val="10"/>
        <color theme="1"/>
        <rFont val="Calibri"/>
        <family val="2"/>
        <charset val="238"/>
        <scheme val="minor"/>
      </rPr>
      <t>Publikacje:</t>
    </r>
    <r>
      <rPr>
        <sz val="10"/>
        <color theme="1"/>
        <rFont val="Calibri"/>
        <family val="2"/>
        <charset val="238"/>
        <scheme val="minor"/>
      </rPr>
      <t xml:space="preserve">
- Ulotka "Działanie „Współpraca” instrument wspierający wdrażanie innowacji w sektorze rolnym, spożywczym i leśnym" - nakład 4000 egz. (w ramach operacji "Działania informacyjno-aktywizujące prowadzone przez brokera inicjujące powstawanie grup operacyjnych w obszarze innowacji w województwie dolnośląskim").
- Broszura "Dolina Łachy przyrodzie i ludziom. Ochrona bioróżnorodności w ramach działania rolno-środowiskowo-klimatycznego" - nakład 1000 egz. (w ramach operacji "Od innowacyjności do bioróżnorodności").
- Ulotka "Innowacyjne metody uprawy gleby, a zasobność w makro- i mikroelementy" - nakład 1000 egz. (w ramach operacji "Przez innowacyjność do poprawy życia biologicznego gleby").
- Ulotka "Tradycyjne
przetwórstwo mięsa na
poziomie gospodarstwa, a
nowatorskie rozwiązania
techniczne i technologiczne" - nakład 1000 egz. (w ramach operacji "Tradycyjne przetwórstwo mięsa na poziomie gospodarstwa a możliwości wdrożenia nowych technik i
technologii").
- Broszura informacyjna "Nauka-praktyce; praktyka-nauce" - nakład 160 egz. (w ramach operacji"Nauka-praktyce; praktyka-nauce").</t>
    </r>
  </si>
  <si>
    <t>Liczba filmów/ programów telewizyjnych/audycji radiowych*</t>
  </si>
  <si>
    <t>* Liczba filmów na stronie www.dodr.pl w zakładce SIR. Ten sam fim na stronie You Tube oraz na portalu Facebook administrowanym przez CDR w Brwinowie. Liczba wyświetleń na kanale You Tube: 79; liczba subskrybcji: 3
Film zrealizowany w ramach operacji "Kampania informacyjno-promocyjna: Innowacyjny Dolny Śląsk".</t>
  </si>
  <si>
    <t>Liczba dobrych praktyk *</t>
  </si>
  <si>
    <t>*Przesłano do CDR w Brwinowie 12 formularzy dot. Innowacyjnych rozwiązań w rolnictwie na terenie województwa dolnośląskiego.</t>
  </si>
  <si>
    <t>Konsultacje tematyczne z partnerami (włączając grupy koordynacyjne)*</t>
  </si>
  <si>
    <t>* Konsultacje telefoniczne udzielane przez brokera potencjalnym członkom grup operacyjnych w ramach działania "Współpraca", w tym analiza dokumentacji WoPP na nabór pilotażowy.</t>
  </si>
  <si>
    <r>
      <rPr>
        <b/>
        <sz val="10"/>
        <color theme="1"/>
        <rFont val="Calibri"/>
        <family val="2"/>
        <charset val="238"/>
        <scheme val="minor"/>
      </rPr>
      <t>2015</t>
    </r>
    <r>
      <rPr>
        <sz val="10"/>
        <color theme="1"/>
        <rFont val="Calibri"/>
        <family val="2"/>
        <scheme val="minor"/>
      </rPr>
      <t xml:space="preserve"> - Organizacja 2 spotkań informacyjno-aktywizujących na terenie województwa dolnośląskiego (teren powiatu kłodzkiego i jeleniogórskiego).
</t>
    </r>
    <r>
      <rPr>
        <b/>
        <sz val="10"/>
        <color theme="1"/>
        <rFont val="Calibri"/>
        <family val="2"/>
        <charset val="238"/>
        <scheme val="minor"/>
      </rPr>
      <t>2016</t>
    </r>
    <r>
      <rPr>
        <sz val="10"/>
        <color theme="1"/>
        <rFont val="Calibri"/>
        <family val="2"/>
        <scheme val="minor"/>
      </rPr>
      <t xml:space="preserve"> - Organizacja 3 wyjazdów studyjnych i szkolenia połączonego z warsztatami.
</t>
    </r>
    <r>
      <rPr>
        <b/>
        <sz val="10"/>
        <color theme="1"/>
        <rFont val="Calibri"/>
        <family val="2"/>
        <charset val="238"/>
        <scheme val="minor"/>
      </rPr>
      <t>2017</t>
    </r>
    <r>
      <rPr>
        <sz val="10"/>
        <color theme="1"/>
        <rFont val="Calibri"/>
        <family val="2"/>
        <scheme val="minor"/>
      </rPr>
      <t xml:space="preserve"> - Organizacja 15 spotkań informacyjno-promocyjnych nt. SIR i działania "Współpraca", przeprowadzenie 24 wykładów nt. SIR oraz działania "Współpraca", udział w 27 spotkaniach dotyczących założenia grup EPI. 
*inne - spotkania informacyjno-promocyjne SIR, przeprowadzone wykłady nt. SIR i działania "Współpraca" na różnych szkoleniach oraz spotkania dotyczące działania "Współpraca" i tworzenia grup operacyjnych EPI. </t>
    </r>
    <r>
      <rPr>
        <b/>
        <sz val="10"/>
        <color theme="1"/>
        <rFont val="Calibri"/>
        <family val="2"/>
        <charset val="238"/>
        <scheme val="minor"/>
      </rPr>
      <t/>
    </r>
  </si>
  <si>
    <r>
      <rPr>
        <b/>
        <sz val="10"/>
        <color theme="1"/>
        <rFont val="Calibri"/>
        <family val="2"/>
        <charset val="238"/>
        <scheme val="minor"/>
      </rPr>
      <t>2015</t>
    </r>
    <r>
      <rPr>
        <sz val="10"/>
        <color theme="1"/>
        <rFont val="Calibri"/>
        <family val="2"/>
        <scheme val="minor"/>
      </rPr>
      <t xml:space="preserve"> - Organizacja 2 spotkań informacyjno-aktywizujących na terenie województwa dolnośląskiego (teren powiatu kłodzkiego i jeleniogórskiego).
</t>
    </r>
    <r>
      <rPr>
        <b/>
        <sz val="10"/>
        <color theme="1"/>
        <rFont val="Calibri"/>
        <family val="2"/>
        <charset val="238"/>
        <scheme val="minor"/>
      </rPr>
      <t xml:space="preserve">2016 </t>
    </r>
    <r>
      <rPr>
        <sz val="10"/>
        <color theme="1"/>
        <rFont val="Calibri"/>
        <family val="2"/>
        <scheme val="minor"/>
      </rPr>
      <t xml:space="preserve">- Organizacja 3 wyjazdów studyjnych i szkolenia połączonego z warsztatami.
</t>
    </r>
    <r>
      <rPr>
        <b/>
        <sz val="10"/>
        <color theme="1"/>
        <rFont val="Calibri"/>
        <family val="2"/>
        <charset val="238"/>
        <scheme val="minor"/>
      </rPr>
      <t>2017</t>
    </r>
    <r>
      <rPr>
        <sz val="10"/>
        <color theme="1"/>
        <rFont val="Calibri"/>
        <family val="2"/>
        <scheme val="minor"/>
      </rPr>
      <t xml:space="preserve"> - Organizacja 15 spotkań informacyjno-promocyjnych nt. SIR i działania "Współpraca", przeprowadzenie 24 wykładów nt. SIR oraz działania "Współpraca", udział w 27 spotkaniach dotyczących założenia grup EPI. 
*liczba uczestników innych działań - odbiorcy spotkań informacyjno-promocyjnych SIR oraz przeprowadzonych wykładów nt. SIR.
</t>
    </r>
    <r>
      <rPr>
        <b/>
        <sz val="10"/>
        <color theme="1"/>
        <rFont val="Calibri"/>
        <family val="2"/>
        <charset val="238"/>
        <scheme val="minor"/>
      </rPr>
      <t>2017</t>
    </r>
    <r>
      <rPr>
        <sz val="10"/>
        <color theme="1"/>
        <rFont val="Calibri"/>
        <family val="2"/>
        <scheme val="minor"/>
      </rPr>
      <t xml:space="preserve"> - liczba uczestników innych działań - odbiorcy spotkań informacyjno-promocyjnych SIR i działania "Współpraca", odbiorcy przeprowadzonych wykładów nt. SIR i działania "Współpraca" oraz  odbiorcy spotkań dotyczących  działania "Współpraca" i potencjalni członkowie grup operacyjnych EPI.
*inne grupy - przedstawiciele jednostek samorządowych[51], PIORIN[1], DIR [1].
</t>
    </r>
    <r>
      <rPr>
        <b/>
        <sz val="10"/>
        <color theme="1"/>
        <rFont val="Calibri"/>
        <family val="2"/>
        <charset val="238"/>
        <scheme val="minor"/>
      </rPr>
      <t>2017</t>
    </r>
    <r>
      <rPr>
        <sz val="10"/>
        <color theme="1"/>
        <rFont val="Calibri"/>
        <family val="2"/>
        <scheme val="minor"/>
      </rPr>
      <t xml:space="preserve"> - KRUS [1], PIP [1], IUNG [6], ZZR Rzeczypospolitej "Solidarni" [2], IWNiRZ w Poznaniu [1].</t>
    </r>
  </si>
  <si>
    <t>Środki na funkcjonowanie.
W ramach funkcjonowania pracownicy SIR: aktualizują zakładkę SIR na stronie www.dodr.pl, przygotowują informacje do gazety TDRR, organizują spotkania informacyjno-promocyjne SIR zarówno grupowe jak i indywidualne, w ramach tworzenia sieci kontaktów, pozyskują nowych partnerów do Bazy Partnerów SIR, monitorują działania związane z SIR na Dolnym Śląsku, udzielają zainteresowanym informacje na temat istoty SIR, koordynują prawidłowe realizowanie PO 2016-2017 oraz inne zadania wg bieżących potrzeb.  Do zadań brokera (zatrudniony od 01.01.2017 r.)  w ramach funkcjonowania należy m.in.: identyfikacja potencjalnych partnerów na obszarze działania brokera oraz nawiązanie z nimi współpracy,  prowadzenie działań aktywizujących, pomoc w tworzeniu i organizacji grup operacyjnych, pomoc w przygotowywaniu potrzebnych dokumentów formalnych związanych z funkcjonowaniem grupy oraz stałe monitorowanie grupy. Dodatkowo koordynatorzy i broker obecni są na szkoleniach organizowanych na terenie województwa dolnośląskiego gdzie przeprowadzają wykłady na temat Sieci i działania "Współpraca".
W skład kosztów na funkcjonowanie wchodzą także koszty delegacji pracowników ds. SIR i brokera na szkolenia i spotkania związane z pozyskiwaniem wiedzy dot. Sieci i działania "Współpraca",  w celu tworzenia sieci kontaktów oraz w przypadku brokera w celu tworzenia i organizacji grup operacyjnych.
W 2015 r. dodatkowo oprócz kosztów funkcjonowania zakup (wyposażenie) stanowiska pracy oraz zakup 2 laptopów na potrzeby pracowników oddelegowanych do zadań SIR.</t>
  </si>
  <si>
    <t>[Kujawsko-Pomorski Ośrodek Doradztwa Rolniczego w Minikowie]</t>
  </si>
  <si>
    <r>
      <t xml:space="preserve">W 2015 r. zasięg lokalny/regionalny - 2 seminaria, 2 szkolenia, 2 konferencje -łacznie 636 osób. </t>
    </r>
    <r>
      <rPr>
        <b/>
        <sz val="10"/>
        <color indexed="8"/>
        <rFont val="Calibri"/>
        <family val="2"/>
        <charset val="238"/>
      </rPr>
      <t>Wydarzenia w 2016 r.</t>
    </r>
    <r>
      <rPr>
        <sz val="10"/>
        <color indexed="8"/>
        <rFont val="Calibri"/>
        <family val="2"/>
        <charset val="238"/>
      </rPr>
      <t xml:space="preserve">: 1. Innowacyjne rozwiązania w zarządzaniu stadem bydła mlecznego w zautomatyzowanej oborze (konferencja 23.03.2016 r., warsztaty/pokaz 2-3.07.2016 r.), 2. II Forum Hodowców i Producentów Trzody Chlewnej Kujaw i Pomorza (konferencja 04.11.2016 r w Przysieku). 3. Skracanie łańcucha żywnościowego w ramach proekologicznej hodowli gęsi (szkolenie, warsztaty, spotkanie hodowców, impreza promocyjno-targowa Święto Gęsiny na Krajnie). 4. Innowacyjne praktyki hodowlane prezentowane podczas Europejskich Targów Hodowlanych w Clermont-Ferrand (wyjazd studyjny 02-08.10.2016 r.). 5. Zrównoważone użytkowanie zasobów wodnych i glebowych w okresach posusznych – innowacyjne rozwiązania (konferencja, 4 warsztaty). 6. Kujawsko-Pomorska Wieprzowina produkowana z wykorzystaniem polskiego białka pochodzenia roślinnego (spotkanie inauguracyjne, 5 warsztatów, konferencja podsumowująca). 7. Innowacyjne systemy uprawy roślin polowych przy użyciu agregatów nowej generacji (warsztaty/pokaz). 8. Upowszechnianie wiedzy na temat legalnej sprzedaży produktów lokalnych i tradycyjnych z branży rolno-spożywczej oraz tworzenie kanałów sprzedaży (szkolenie). 9. Droga rozwoju dla innowacyjnych rolników i przedsiębiorców. Warsztaty informacyjno-motywacyjne (warsztaty). 4 - stoiska informacyjne dotyczące SIR na imprezach targowych i dożynkach: Dni Otwartych Drzwi w Zarzeczewie, Dni Pola w Grubnie, Międzynarodowe Targi Rolno-Przemysłowe AGRO-TECH Minikowo, Dożynki Wojewódzkie w Piotrkowie Kujawskim. </t>
    </r>
    <r>
      <rPr>
        <b/>
        <sz val="10"/>
        <color indexed="8"/>
        <rFont val="Calibri"/>
        <family val="2"/>
        <charset val="238"/>
      </rPr>
      <t>W 2017 r.</t>
    </r>
    <r>
      <rPr>
        <sz val="10"/>
        <color indexed="8"/>
        <rFont val="Calibri"/>
        <family val="2"/>
        <charset val="238"/>
      </rPr>
      <t xml:space="preserve"> zorganizowano: 4 stoiska informacyjne SIR, podczas imprez targowych: Międzynarodowy Dzień Rzepaku EURORZEPAK w Minikowie (18.05.2017 r.), Dni Otwartych Drzwi w Zarzeczewie (3-4.06.2017 r.) i Dni Pola w Grubnie (10-11.06.2017 r.), Międzynarodowe Targi Rolno-Przemyslowe AGRO-TECH w Minikowie (1-2.07.2017 r.), 2 wyjazdy studyjne: " „Innowacyjne rozwiązania w organizacji chowu i przetwórstwie bydła mięsnego” Witkowo (22-23.05.2017 r.) i "Wykorzystanie potencjału nowych odmian roślin uprawnych w rolnictwie zrównoważonym" Strzelce-Radzików-Falęty (22-23.06.2017 r.), Punkty informacyjno-konsultacyjny na Dniach Pola w Grubnie (10.06.2017 r.), Warsztaty i konferencja dla pszczelarzy „Innowacyjne wykorzystanie kwiatowego pyłku pszczelego w wiosennej stymulacji rodzin pszczelich” Zarzeczewo (warsztaty - 21.05.2017 r. i 27.08.2017 r., konferencja - 26.08.2017 r. ), „Droga rozwoju dla innowacyjnych rolników i przedsiębiorców. Warsztaty informacyjno-motywacyjne” Włocławek (warsztaty 6-7 i 9-10.03.2017 r.), Warszaty polowe „Monitoring podstawowych chorób pszenicy w praktyce – rozpoznawanie wybranych chorób w okresie wegetacji” w Falęcinie (warsztaty 06.06.2017 r.), Warsztaty sadownicze „Monitoring występowania chorób na plantacjach jabłoni chorób ze szczególnym uwzględnieniem parcha jabłoni” w Lisewie Kościelnym i Starorypinie (warsztaty 6-7.06.2017 r.), Szkolenie polowe w Minikowie „Innowacyjne systemy uprawy roślin polowych przy użyciu agregatów nowej generacj</t>
    </r>
    <r>
      <rPr>
        <sz val="10"/>
        <rFont val="Calibri"/>
        <family val="2"/>
        <charset val="238"/>
      </rPr>
      <t>i” - (szkolenie 20.03.2017 r.</t>
    </r>
    <r>
      <rPr>
        <sz val="10"/>
        <color indexed="8"/>
        <rFont val="Calibri"/>
        <family val="2"/>
        <charset val="238"/>
      </rPr>
      <t>), Szkolenie specjalistyczne „Monitoring agrofagów roślin uprawnych na przykładzie programu SPEC – Monitoring suchej zgnilizny kapustnych ” (szkolenie - dwie części 11.10.2017 r. i 27.10.2017 r.), „Upowszechnianie wiedzy na temat legalnej sprzedaży produktów lokalnych i tradycyjnych z branży rolno-spożywczej oraz tworzenie kanałów sprzedaży” - (warsztaty 21-23.</t>
    </r>
    <r>
      <rPr>
        <sz val="10"/>
        <rFont val="Calibri"/>
        <family val="2"/>
        <charset val="238"/>
      </rPr>
      <t xml:space="preserve">02.2017 r.). </t>
    </r>
  </si>
  <si>
    <r>
      <rPr>
        <b/>
        <sz val="10"/>
        <color indexed="8"/>
        <rFont val="Calibri"/>
        <family val="2"/>
        <charset val="238"/>
      </rPr>
      <t xml:space="preserve">W 2015 r. zasięg lokalny/regionalny </t>
    </r>
    <r>
      <rPr>
        <sz val="10"/>
        <color indexed="8"/>
        <rFont val="Calibri"/>
        <family val="2"/>
        <charset val="238"/>
      </rPr>
      <t>- 2 seminaria, 2 szkolenia, 2 konferencje -łacznie 636 osób.</t>
    </r>
    <r>
      <rPr>
        <b/>
        <sz val="10"/>
        <color indexed="8"/>
        <rFont val="Calibri"/>
        <family val="2"/>
        <charset val="238"/>
      </rPr>
      <t xml:space="preserve"> 2016 r.</t>
    </r>
    <r>
      <rPr>
        <sz val="10"/>
        <color indexed="8"/>
        <rFont val="Calibri"/>
        <family val="2"/>
        <charset val="238"/>
      </rPr>
      <t xml:space="preserve"> z</t>
    </r>
    <r>
      <rPr>
        <b/>
        <sz val="10"/>
        <color indexed="8"/>
        <rFont val="Calibri"/>
        <family val="2"/>
        <charset val="238"/>
      </rPr>
      <t>asięg lokalny/regionalny</t>
    </r>
    <r>
      <rPr>
        <sz val="10"/>
        <color indexed="8"/>
        <rFont val="Calibri"/>
        <family val="2"/>
        <charset val="238"/>
      </rPr>
      <t xml:space="preserve"> - 3000 odwiedzających i 40 wystawców uczestniczących w Dożynkach Wojewódzkich w Piotrkowie Kuj. 28.08.2016 r. (według wskazań organizatora) oraz 50 osób (na podstawie list obecności) uczestniczących w warsztatach motywacyjno-informacyjnych pt. "Droga rozwoju dla innowacyjnych rolników i przedsiębiorców" 4-5.07. oraz 6-7.07.2016 r. w Przysieku. II Forum Hodowców i Producentów Trzody Chlewnej Kujaw i Pomorza 04.11.2016 r. w Przysieku (konferencja – 131 osób), Skracanie łańcucha żywnościowego w ramach proekologicznej hodowli gęsi (szkolenie – 16 osób, warsztaty – 17 osób, spotkanie hodowców 26 osób), Zrównoważone użytkowanie zasobów wodnych i glebowych w okresach posusznych – innowacyjne rozwiązania (konferencja 125 osób, 4 warsztaty – łącznie 128 uczestników), Kujawsko-Pomorska Wieprzowina produkowana z wykorzystaniem polskiego białka pochodzenia roślinnego (spotkanie inauguracyjne – 22 osoby, 5 warsztatów – łącznie 110 osób, konferencja podsumowująca – 70 uczestników), Innowacyjne systemy uprawy roślin polowych przy użyciu agregatów nowej generacji - (warsztaty/pokaz – 140 uczestników), Upowszechnianie wiedzy na temat legalnej sprzedaży produktów lokalnych i tradycyjnych z branży rolno-spożywczej oraz tworzenie kanałów sprzedaży (szkolenie 2-dniowe – 20 osób). </t>
    </r>
    <r>
      <rPr>
        <b/>
        <sz val="10"/>
        <color indexed="8"/>
        <rFont val="Calibri"/>
        <family val="2"/>
        <charset val="238"/>
      </rPr>
      <t>Zasięg krajowy</t>
    </r>
    <r>
      <rPr>
        <sz val="10"/>
        <color indexed="8"/>
        <rFont val="Calibri"/>
        <family val="2"/>
        <charset val="238"/>
      </rPr>
      <t xml:space="preserve"> - stoisko informacyjne SIR podczas targów Dni Otwartych Drzwi w Zarzeczewie 4-5.06.2016 r.  (15 000 odwiedzających i 206 wystawców na podstawie wskazań organizatora), stoisko informacyjne SIR podczas DNI POLA w Grubnie 18-19.06.2016 r. (25000 odwiedzających i 221 wystawców na podstawie wskazań organizatora) oraz 106 osób (na podstawi listy obecności) uczestników konferencji pt. "Innowacyjne rozwiązania w zarządzaniu stadem bydła mlecznego w zautomatyzowanej oborze" w siedzibie KPODR Minikowie oraz impreza promocyjno-targowa Święto Gęsi na Krajnie - (1000 odwiedzających i 80 wystawców na podstawie wskazań organizatora) </t>
    </r>
    <r>
      <rPr>
        <b/>
        <sz val="10"/>
        <color indexed="8"/>
        <rFont val="Calibri"/>
        <family val="2"/>
        <charset val="238"/>
      </rPr>
      <t>Zasięg międzynarodowy</t>
    </r>
    <r>
      <rPr>
        <sz val="10"/>
        <color indexed="8"/>
        <rFont val="Calibri"/>
        <family val="2"/>
        <charset val="238"/>
      </rPr>
      <t xml:space="preserve"> - stoisko SIR na Międzynarodowych Targach Rolno-Przemysłowych AGRO-TECH 2-3.07.2016 r. (35000 odwiedzających i 422 wystawców według wskazań organizatora) oraz 500 osób (na podstawie listy obecności) uczestniczących w praktycznym pokazie - zautomatyzowana obora podczas Targów AGRO-TECH w Minikowie, a także Wyjazd studyjny do Francji -w dn. 2-8.10.2016 r. na Europejskie Targi Hodowlane w Clemont-Ferrand - 26 uczestników. </t>
    </r>
    <r>
      <rPr>
        <b/>
        <sz val="10"/>
        <color indexed="8"/>
        <rFont val="Calibri"/>
        <family val="2"/>
        <charset val="238"/>
      </rPr>
      <t>W 2017 r.</t>
    </r>
    <r>
      <rPr>
        <sz val="10"/>
        <color indexed="8"/>
        <rFont val="Calibri"/>
        <family val="2"/>
        <charset val="238"/>
      </rPr>
      <t xml:space="preserve">,  wydarzenia o </t>
    </r>
    <r>
      <rPr>
        <b/>
        <sz val="10"/>
        <color indexed="8"/>
        <rFont val="Calibri"/>
        <family val="2"/>
        <charset val="238"/>
      </rPr>
      <t>zasięgu międzynarodowym</t>
    </r>
    <r>
      <rPr>
        <sz val="10"/>
        <color indexed="8"/>
        <rFont val="Calibri"/>
        <family val="2"/>
        <charset val="238"/>
      </rPr>
      <t xml:space="preserve"> to: Międzynarodowy Dzień Rzepaku EURORZEPAK w Minikowie - 324 osoby - konferencja i stoisko informacyjne SIR, Międzynarodowe Targi Rolno-Przemysłowe AGRO-TECH w Minikowie - stoisko informacyjne SIR - 30 000 odwiedzających i 330 wystawców według wskazań organizatora. </t>
    </r>
    <r>
      <rPr>
        <b/>
        <sz val="10"/>
        <color indexed="8"/>
        <rFont val="Calibri"/>
        <family val="2"/>
        <charset val="238"/>
      </rPr>
      <t>Zasięg krajowy</t>
    </r>
    <r>
      <rPr>
        <sz val="10"/>
        <color indexed="8"/>
        <rFont val="Calibri"/>
        <family val="2"/>
        <charset val="238"/>
      </rPr>
      <t xml:space="preserve"> - stoisko informacyjne SIR na Dniach Otwartych Drzwi w Zarzeczewie - 150 wystawców i 15 000 zwiedzających  i 200 wystawców i 20 000 odwiedzających na Dniach Pola w Grubnie - stoisko informacyjne SIR, Punkt informacyjno-konsultacyjny na Dniach Pola w Grubnie - 105 osób.</t>
    </r>
    <r>
      <rPr>
        <b/>
        <sz val="10"/>
        <color indexed="8"/>
        <rFont val="Calibri"/>
        <family val="2"/>
        <charset val="238"/>
      </rPr>
      <t xml:space="preserve"> Zasięg regionalny/lokalny</t>
    </r>
    <r>
      <rPr>
        <sz val="10"/>
        <color indexed="8"/>
        <rFont val="Calibri"/>
        <family val="2"/>
        <charset val="238"/>
      </rPr>
      <t xml:space="preserve"> - wyjazdy studyjne: " „Innowacyjne rozwiązania w organizacji chowu i przetwórstwie bydła mięsnego” Witkowo - 50 osób i "Wykorzystanie potencjału nowych odmian roślin uprawnych w rolnictwie zrównoważonym" Strzelce-Radzików-Falęty - 25 osób, Warsztaty dla pszczelarzy „Innowacyjne wykorzystanie kwiatowego pyłku pszczelego w wiosennej stymulacji rodzin pszczelich” - warsztaty dla 100 osób, konferencja</t>
    </r>
    <r>
      <rPr>
        <sz val="10"/>
        <color rgb="FFFF0000"/>
        <rFont val="Calibri"/>
        <family val="2"/>
        <charset val="238"/>
      </rPr>
      <t xml:space="preserve"> </t>
    </r>
    <r>
      <rPr>
        <sz val="10"/>
        <rFont val="Calibri"/>
        <family val="2"/>
        <charset val="238"/>
      </rPr>
      <t>50</t>
    </r>
    <r>
      <rPr>
        <sz val="10"/>
        <color rgb="FFFF0000"/>
        <rFont val="Calibri"/>
        <family val="2"/>
        <charset val="238"/>
      </rPr>
      <t xml:space="preserve"> </t>
    </r>
    <r>
      <rPr>
        <sz val="10"/>
        <color indexed="8"/>
        <rFont val="Calibri"/>
        <family val="2"/>
        <charset val="238"/>
      </rPr>
      <t xml:space="preserve">osób, "Droga rozwoju dla innowacyjnych rolników i przedsiębiorców. Warsztaty informacyjno-motywacyjne" Włocławek łącznie - 51 osób, Warszaty polowe "Monitoring podstawowych chorób pszenicy w praktyce – rozpoznawanie wybranych chorób w okresie wegetacji" w Falęcinie - 44 osoby, warsztaty sadownicze „Monitoring występowania chorób na plantacjach jabłoni chorób ze szczególnym uwzględnieniem parcha jabłoni” w Lisewie Kościelnym i Starorypinie - 34 osób, Szkolenie polowe w Minikowie "Innowacyjne systemy uprawy roślin polowych przy użyciu agregatów nowej generacji" - 44 osoby,  Szkolenia specjalistyczne „Monitoring agrofagów roślin uprawnych na przykładzie programu SPEC – Monitoring suchej zgnilizny kapustnych” - dwa szkolenia łącznie </t>
    </r>
    <r>
      <rPr>
        <sz val="10"/>
        <rFont val="Calibri"/>
        <family val="2"/>
        <charset val="238"/>
      </rPr>
      <t>72</t>
    </r>
    <r>
      <rPr>
        <sz val="10"/>
        <color indexed="8"/>
        <rFont val="Calibri"/>
        <family val="2"/>
        <charset val="238"/>
      </rPr>
      <t xml:space="preserve"> osoby, „Upowszechnianie wiedzy na temat legalnej sprzedaży produktów lokalnych i tradycyjnych z branży rolno-spożywczej oraz tworzenie kanałów sprzedaży” - warsztaty dla 30 osób.</t>
    </r>
  </si>
  <si>
    <r>
      <rPr>
        <b/>
        <sz val="10"/>
        <color indexed="8"/>
        <rFont val="Calibri"/>
        <family val="2"/>
        <charset val="238"/>
      </rPr>
      <t>2016 r</t>
    </r>
    <r>
      <rPr>
        <sz val="10"/>
        <color indexed="8"/>
        <rFont val="Calibri"/>
        <family val="2"/>
        <charset val="238"/>
      </rPr>
      <t xml:space="preserve">. - zakładka o Sieci na rzecz innowacji w rolnictwie i na obszarach wiejskich na stronie www.kpodr.pl, zamieszczono 34 informacje i artykuły. </t>
    </r>
    <r>
      <rPr>
        <b/>
        <sz val="10"/>
        <color indexed="8"/>
        <rFont val="Calibri"/>
        <family val="2"/>
        <charset val="238"/>
      </rPr>
      <t>W 2017 r.</t>
    </r>
    <r>
      <rPr>
        <sz val="10"/>
        <color indexed="8"/>
        <rFont val="Calibri"/>
        <family val="2"/>
        <charset val="238"/>
      </rPr>
      <t xml:space="preserve"> - w zakładce dotyczącej SIR na stronie www.kpodr.pl zamieszczono 18 artykułów i informacji. </t>
    </r>
  </si>
  <si>
    <r>
      <rPr>
        <b/>
        <sz val="10"/>
        <color theme="1"/>
        <rFont val="Calibri"/>
        <family val="2"/>
        <charset val="238"/>
        <scheme val="minor"/>
      </rPr>
      <t>W 2015 r</t>
    </r>
    <r>
      <rPr>
        <sz val="10"/>
        <color theme="1"/>
        <rFont val="Calibri"/>
        <family val="2"/>
        <charset val="238"/>
        <scheme val="minor"/>
      </rPr>
      <t>oku wydano trzy broszury: 1 - "I Forum Hodowców i Producentów Trzody Chlewnej Kujaw i Pomorza"  - 100 egz., 2- "Innowacje w tuczu trzody chlewnej z wykorzystaniem krajowych żródeł białka roślinnego" - 50 egz., 3- "Polowa pojemność wodna gleb i integrowana ochrona" - 500 egz.</t>
    </r>
    <r>
      <rPr>
        <b/>
        <sz val="10"/>
        <color theme="1"/>
        <rFont val="Calibri"/>
        <family val="2"/>
        <charset val="238"/>
        <scheme val="minor"/>
      </rPr>
      <t>W 2016 roku</t>
    </r>
    <r>
      <rPr>
        <sz val="10"/>
        <color theme="1"/>
        <rFont val="Calibri"/>
        <family val="2"/>
        <charset val="238"/>
        <scheme val="minor"/>
      </rPr>
      <t xml:space="preserve"> wydano ulotkę informacyjną "Dołącz do SIR" - nakład 5000 egz., opublikowano 18 artykułów informujących o SIR i rozwiązaniach innowacyjnych w czasopismie branżowym - miesięczniku "Wieś Kujawsko-Pomorska" . </t>
    </r>
    <r>
      <rPr>
        <b/>
        <sz val="10"/>
        <color theme="1"/>
        <rFont val="Calibri"/>
        <family val="2"/>
        <charset val="238"/>
        <scheme val="minor"/>
      </rPr>
      <t>W</t>
    </r>
    <r>
      <rPr>
        <sz val="10"/>
        <color theme="1"/>
        <rFont val="Calibri"/>
        <family val="2"/>
        <charset val="238"/>
        <scheme val="minor"/>
      </rPr>
      <t xml:space="preserve"> </t>
    </r>
    <r>
      <rPr>
        <b/>
        <sz val="10"/>
        <color theme="1"/>
        <rFont val="Calibri"/>
        <family val="2"/>
        <charset val="238"/>
        <scheme val="minor"/>
      </rPr>
      <t>2017 r.</t>
    </r>
    <r>
      <rPr>
        <sz val="10"/>
        <color theme="1"/>
        <rFont val="Calibri"/>
        <family val="2"/>
        <charset val="238"/>
        <scheme val="minor"/>
      </rPr>
      <t xml:space="preserve"> wydano 2 broszury:  "Innowacyjne rozwiązania w organizacji chowu bydła mięsnego." - nakład 2000 egz. i broszurę pt. "Monitorowanie agrofagów ziemniaka - ocena zdrowotności odmian. Innowacyjne rozwiązania w zakresie postępu biologicznego i ochrony przed patogenami w agrotechnice ziemniaka." - nakład 1000 egz. oraz dodrukowano po zaktualizowaniu ulotkę informacyjną "Dołącz do SIR" - nakład 1000 egz., opublikowano także 9 artykułów dotyczących SIR w czasopismie branżowym miesięczniku wydawanym przez KPODR pt. "Wieś Kujawsko-Pomorska".</t>
    </r>
  </si>
  <si>
    <r>
      <t xml:space="preserve">Zidentyfikowane dobre praktyki w zakresie wdrażania innowacji w rolnictwie i na obszarach wiejskich z terenu województwa </t>
    </r>
    <r>
      <rPr>
        <b/>
        <sz val="10"/>
        <rFont val="Calibri"/>
        <family val="2"/>
        <charset val="238"/>
      </rPr>
      <t>w 2016 r</t>
    </r>
    <r>
      <rPr>
        <sz val="10"/>
        <rFont val="Calibri"/>
        <family val="2"/>
        <charset val="238"/>
      </rPr>
      <t>.: Energooszczędny i innowacyjny proces suszenia warzyw, Gospodarstwa opiekuńcze, Centrum Techniki Rolniczej (centrum szkoleniowe), Innowacyjne produkty mięsne z bakteriami probiotycznymi, Projekt i budowa agregatu uprawowo-siewnego do zasiewów w technologii pasowej (strip till). Siew pszenicy w technologii strip till, Od pola do stołu - Kujawsko-Pomorska Wieprzowina Produkowana z Wykorzystaniem Polskiego Białka Pochodzenia Roślinnego, Soja w województwach kujawsko-pomorskim i wielkopolskim - innowacyjne rozwiązania w uprawie, Innowacyjne rozwiązania w wykorzystaniu agregatu uprawowego do uprawy pasowej.</t>
    </r>
  </si>
  <si>
    <r>
      <t xml:space="preserve"> W 2015 r. nawiązano współpracę i przystąpiono do przygotowania etapu organizacyjnego powołania grup operacyjnych, których celem będzie wdrożenie określonych innowacji. Przedstawiciele Ośrodka rozmawiali między innymi z OHZ Osięciny, BIN, Chłodnia Run we Włocławku, Narolco Rypin, Burmistrz Miasta i Gminy Dobrzyń , Lewandowski Kruszynek. </t>
    </r>
    <r>
      <rPr>
        <b/>
        <sz val="10"/>
        <color theme="1"/>
        <rFont val="Calibri"/>
        <family val="2"/>
        <charset val="238"/>
        <scheme val="minor"/>
      </rPr>
      <t>W 2016 r</t>
    </r>
    <r>
      <rPr>
        <sz val="10"/>
        <color theme="1"/>
        <rFont val="Calibri"/>
        <family val="2"/>
        <charset val="238"/>
        <scheme val="minor"/>
      </rPr>
      <t xml:space="preserve">. nawiązano współpracę i odbyło się 12 spotkań informacyjno-organizacyjnych, których celem będzie wdrożenie określonych innowacji. Przedstawiciele Ośrodka rozmawiali między innymi z: OHZ Osięciny, BIN, Czajkowski Uprawa Pasowa, Korycki TECHKor, Wichliński EUROCENTER, Agrolok, Team-Rol, Geofabryka, Lechpol, Grabowski, Walter i Modraszewski. </t>
    </r>
    <r>
      <rPr>
        <b/>
        <sz val="10"/>
        <color theme="1"/>
        <rFont val="Calibri"/>
        <family val="2"/>
        <charset val="238"/>
        <scheme val="minor"/>
      </rPr>
      <t>W 2017 r</t>
    </r>
    <r>
      <rPr>
        <sz val="10"/>
        <color theme="1"/>
        <rFont val="Calibri"/>
        <family val="2"/>
        <charset val="238"/>
        <scheme val="minor"/>
      </rPr>
      <t xml:space="preserve">. przeprowadzono rozmowy i nawiązano współpracę, odbyły się 44 spotkania informacyjno-organizacyjne, m.in. z : przedstawicielami UTP z Bydgoszczy, Wytwórnią Makaronu Babalscy, BIN Aleksandrów Kujawski, Czajkowski Uprawa Pasowa, P.W. Lechpol, przedstawicielami ITP Ośrodek Badawczy w Bydgoszczy, Gospodasrstwo sadownicze Aleksandra i Witold Szulc, Gospodarstwo sadownicze Jarosław Domasz, Gospodarstwo sadownicze Andrzej Głuszczyński, Eurocenter Fundusze Unijne - Wichliński, Gospodastwo sadownicze Wojciech Pluta, Gospodarstwo sadownicze Mariusz Kuta, przedstawicielem Collegium Medicum UMK Bydgoszcz, Restauracja Ostomecko, Zakłady Mięsne Kwiecińscy, Masarnia Władysławowo, Krajowe Zrzeszenie Producentów Rzepaku i Roślin Białkowych, właściciele gospodarstw: Szczutowo, Kościerzyn Mały, Jędrzejewo, Rypin, Rzemienice, Sicienko, Przedsiębiorstwo Farmet, Agrobiznes Park, HZ Zamarte, IHAR Bydgoszcz, przedstawiciel firmy Rolnas, przedstawiciel gospodastw sadowniczych: Szczutki, Gliszcz, Malice, Łobżenica, Instytutu Ogrodnictwa Skierniewice, Instytutu Hodowli i Aklimatyzacji Roślin Oddział Bydgoszcz. </t>
    </r>
  </si>
  <si>
    <r>
      <rPr>
        <b/>
        <sz val="10"/>
        <color theme="1"/>
        <rFont val="Calibri"/>
        <family val="2"/>
        <charset val="238"/>
        <scheme val="minor"/>
      </rPr>
      <t>W 2016 r</t>
    </r>
    <r>
      <rPr>
        <sz val="10"/>
        <color theme="1"/>
        <rFont val="Calibri"/>
        <family val="2"/>
        <scheme val="minor"/>
      </rPr>
      <t xml:space="preserve">. odbyło się 18 spotkań o charakterze szkoleniowym z rolnikami i przedstawicielami firm branży rolniczej, na których przedstawiono informację o znaczeniu innowacji w rolnictwie i na obszarach wiejskich. Inne - wizyta w Instytucie Technologiczno-Przyrodniczym Oddział w Poznaniu (16.03.2016 r.) w ramach planowanej współpracy, której celem było zapoznanie się z działalnością, bazą badawczą i ofertą związaną z odnawialnymi źródłami energii, które mogą być wykorzystane w gospodarstwach rolnych. </t>
    </r>
    <r>
      <rPr>
        <b/>
        <sz val="10"/>
        <color theme="1"/>
        <rFont val="Calibri"/>
        <family val="2"/>
        <charset val="238"/>
        <scheme val="minor"/>
      </rPr>
      <t>W 2017 r.</t>
    </r>
    <r>
      <rPr>
        <sz val="10"/>
        <color theme="1"/>
        <rFont val="Calibri"/>
        <family val="2"/>
        <scheme val="minor"/>
      </rPr>
      <t xml:space="preserve"> odbyły się 6 spotkań o charakterze szkoleniowym z rolnikami i przedstawiciwelami firm z branży rolniczej.</t>
    </r>
  </si>
  <si>
    <r>
      <rPr>
        <b/>
        <sz val="10"/>
        <color indexed="8"/>
        <rFont val="Calibri"/>
        <family val="2"/>
        <charset val="238"/>
      </rPr>
      <t>W 2016 r.</t>
    </r>
    <r>
      <rPr>
        <sz val="10"/>
        <color indexed="8"/>
        <rFont val="Calibri"/>
        <family val="2"/>
        <charset val="238"/>
      </rPr>
      <t xml:space="preserve"> wizycie w Instytucie Technologiczno-Przyrodniczym w Poznaniu (16 marca) w celu zapoznania się z działalnością tej jednostki, szczególnie w zakresie OZE uczestniczyłyo 4 pracowników Kujawsko-Pomorskiego Ośrodka Doradztwa Rolniczego w Minikowie. </t>
    </r>
  </si>
  <si>
    <t xml:space="preserve">Środki na funkcjonowanie i pochodne obejmujące: wynagrodzenia pracowników zajmujących się SIR, delegacje, koszty związane z wyjazdami służbowymi, szkoleniami. Koszty działań zamieszczonych w tabeli 2.1, 4.2 (dotyczące 2016 r.) oraz 3.,4., 6. mieszczą się w kosztach funkcjonowania. </t>
  </si>
  <si>
    <t>Budżet w PLN</t>
  </si>
  <si>
    <t>[Lubelski Ośrodek Doradztwa Rolniczego w Końskowoli]</t>
  </si>
  <si>
    <t>administrowanie zakładką SIR na stronie www.wodr.konskowola.pl  w ramach funcjonowania, brak możliwości sprawdzenia liczby unikalnych użytkowników strony</t>
  </si>
  <si>
    <t>artykuł „Sieć na rzecz innowacji” w gazecie wydawanej przez LODR w Końskowoli -  Lubelskie Aktualności Rolnicze nakład 6600 egz., zadanie wykonane w ramach funcjnonowania Sieci</t>
  </si>
  <si>
    <t>inne - wyjazd szkoleniowo-studyjny , seminarium połączone z wyjazdem studyjnym</t>
  </si>
  <si>
    <t>liczba uczestników innych lub … - uczestnicy wyjazdu szkoleniowo-studyjnego, uczestnicy seminarium połączonego z wyjazdem studyjnym
przedstawiciele innych grup interesariuszy - rolnicy</t>
  </si>
  <si>
    <t>Środki na funkcjonowanie obejmujące: wynagrodzenia pracowników, delegacje, administrowanie zakładką SIR na stronie WODR, szkolenie pracowników SIR, pozyskiwanie Partnerów, współpraca z jednostkami badawczymi</t>
  </si>
  <si>
    <t>Lubuski Ośrodek Doradztwa Rolniczego</t>
  </si>
  <si>
    <t>PO 2016-2017 zrealizowano 11 operacji w 2016 r., w tym: 1 operacja składała się z dwóch szkoleń; 1 operacja z 6 przedsiewzięć informacyjno-promocyjnych i aktywizacyjnych tj. stoiska. W 2017 r. na dzień 31.12.2017 r. zostały zrealizowane wszystkie operacje ujęte w Planie Operacynym KSOW 2016-2017 w województwie lubuskim, w tym: 1 operacja składająca sie z organizacji 6 stoisk informacyjno-promocyjnych podczas kluczowych imprez w województwie (zrealizowano 5, Lubuskie Forum Gospodarcze w 2017 nie zostało zorganizowane); i operacja składała się ze szkolenia 4 warsztatów tematycznych oraz konferencji podsumowującej.</t>
  </si>
  <si>
    <t>PO 2016-2017 w 2016 r. zrealizowano 11 operacji, w tym: 1 operacja składała się z dwóch szkoleń; 1 operacja z 6 przedsiewzięć informacyjno-promocyjnych i aktywizacyjnych tj. stoiska, dodatkowo:
- 10 dziesięciu laureatów konkursu wiedzy o innowacjach w rolnictwie i na obszarach wiejskich - Targi rolnicze Lubniewice (Glisno)
- 10 dziesięciu laureatów konkursu wiedzy o innowacjach w rolnictwie i na obszarach wiejskich - AGRO-TARG Kalsk
- 10 dziesięciu laureatów konkursu wiedzy o innowacjach w rolnictwie i na obszarach wiejskich - Jesień w Gliśnie (Glisno)
- 10 dziesięciu laureatów konkursu wiedzy o innowacjach w rolnictwie i na obszarach wiejskich - Kiermasz Ogrodniczy Kalsk
- 10 dziesięciu laureatów konkursu wiedzy o innowacjach w rolnictwie i na obszarach wiejskich - Lubuskie Forum Gospodarcze
- 10 dziesięciu laureatów konkursu wiedzy o innowacjach w rolnictwie i na obszarach wiejskich Dożynki Wojewódzkie 
oraz 9 szkoleń, wyjazdów studyjnych, konferencji w ramach działani 2 i 5. w 2017 po zmianie PO na lata 2016-2017 wprowadzono 7 nowych operacji, przejęto jedną operację partnera, który się wycofał z realizacji oraz dwie zakontraktowane przy pierwotnym PO.
W 2017 r. zrealizowana 10 operacji w tym: 1 operacja składała się z dwóch szkoleń; 1 operacja z 5 przedsiewzięć informacyjno-promocyjnych i aktywizacyjnych tj. stoiska, dodatkowo:
- 10 dziesięciu laureatów konkursu wiedzy o innowacjach w rolnictwie i na obszarach wiejskich - Targi rolnicze Lubniewice (Glisno)
- 10 dziesięciu laureatów konkursu wiedzy o innowacjach w rolnictwie i na obszarach wiejskich - AGRO-TARG Kalsk
- 10 dziesięciu laureatów konkursu wiedzy o innowacjach w rolnictwie i na obszarach wiejskich - Jesień w Gliśnie (Glisno)
- 10 dziesięciu laureatów konkursu wiedzy o innowacjach w rolnictwie i na obszarach wiejskich - Kiermasz Ogrodniczy Kalsk
- 10 dziesięciu laureatów konkursu wiedzy o innowacjach w rolnictwie i na obszarach wiejskich Dożynki Wojewódzkie 
oraz 9 szkoleń, wyjazdów studyjnych, konferencji w ramach działani 2 i 5. 
W 2017 przejęto i zrealizowano operację partnera, jako operacje własną.</t>
  </si>
  <si>
    <t>2016-2017 w 2016 r.
opublikowano 37 ogloszeń/ artykułów w Lubuskich Aktualnościach Rolniczych, zamieszczono 31 informacji internetowych. 
W 2017 r. opublikowano ogłoszenia nt. stoisk inforacyjno-promocyjnych w dwóch gazetach targowych (21 aktykułów/ ogłoszeń) w czasopiśmie LODR oraz na www.lodr.pl 23 publikacji (ogłoszenia, felaje, artykuły, fotorealacje), www.hodowlazwierzat.pl - partner sieci, 2 publikacje (ogłoszenia/relacje).</t>
  </si>
  <si>
    <t>W 2016 zorganizowano 6 konkursów wiedzy nt. innowacji w rolnictwie i na obszarach wiejskich w ramach operacji Stoiska inforacyjno-promocyjne nosnikiem informacji o innowacjach, zorganizane podczas imprez targowych. 
W 2017 zrealizowano pięć stoisk w ramach PO 2016-2017 (operacja dotyczy 6 stoisk informacyno-promocyjnych) oraz w ramach funkcjonowania sieci podczas warsztatów polowych 13 czerwca br., podczas Dni Pola Kukurydzy 18 września, poza planem operacyjnym.</t>
  </si>
  <si>
    <t>2017 rok: organizacja stoisk informacyjno-promocyjnych podczas warsztatów polowych PDO (13 czerwca 2017 r.), dni pola kukurydzy (18 wrzesień 2017 r.), sejmiku województwa lubuskiego (6 marca 2017 r.)</t>
  </si>
  <si>
    <t>Koszty funkcjonowania (wszystkie koszty administracyjne, materiały, koordynacja, itp.) Proszę określ je w komentarzach.
Koszty funkcjonowania obejmują: 
w 2014-2015                                       
1. Organizacja 2-ch spotkań informacyjno-szkoleniowych dla pracowników LODR               
2. Wynagrodzenia pracowników, którzy w ramach zadań:                           
- prowadzą bieżącą wymianę informacji oraz konsultacje w/s SIR,             
- nawiązując współpracę z jednostkami naukowymi, instytutami i organizacjami,               
- promowali Sieć                                        
3. Wyjazdy służbowe - krajowe 
4. Adaptacja i doposażenie biur
w latach: 2016-2017
koszty funkcjonowania: płace, wraz z pochodnymi, delegacje, paliwo, mat.biurowe, telefony, stoisko informacyjne poza PO 2016-2017.</t>
  </si>
  <si>
    <t>Łódzki Ośrodek Doradztwa Rolniczego - SIR</t>
  </si>
  <si>
    <t xml:space="preserve">Rok 2016
I) Zasięg lokalny/regionalny – Operacje:
1) Stoiska informacyjne „Przykłady  i promocja  Sieci na rzecz innowacji w rolnictwie i na obszarach wiejskich”:
• XXVI Targi Rolniczo-Ogrodnicze w Kościerzynie.
• Targi Rolne „W Sercu Polski” XXIII Wojewódzka Wystawa Zwierząt Hodowlanych. 
• XXV Promocyjno-Handlowa Wystawa Rolnicza ROL–SZANSA 2016.
• Dożynki wojewódzkie w Piątku
2) Stoiska targowe w ramach funkcjonowania:
• XXIV Targi Rolne AGROTECHNIKA
II) Zasięg krajowy: 
1) Stoiska targowe w ramach funkcjonowania:
• XXIII Krajowe Dni Ziemniaka - Kościerzyński Dzień Ziemniaka
Rok 2017
I) Zasięg lokalny/regionalny – Operacje:
1) Stoisko informacyjne „Przykłady  i promocja  Sieci na rzecz innowacji w rolnictwie i na obszarach wiejskich”
• XXVII Targi Rolniczo-Ogrodnicze w Kościerzynie
• Targi Rolne „W Sercu Polski” XXIV Wojewódzka Wystawa Zwierząt Hodowlanych
• XXVI Promocyjno-Handlowa Wystawa Rolnicza ROL-SZANSA 2017
• Dożynki Wojewódzkie w Sędziejowicach
2) Stoiska targowe w ramach funkcjonowania:
• XXV Targi Rolne AGROTECHNIKA
3) Konferencja „Czas na ekologię”
II) Zasięg międzynarodowy:
1) Stoiska targowe w ramach funkcjonowania:
• XVII Międzynarodowe Targi Ferma Bydła i XX Międzynarodowe Targi Ferma Świń i Drobiu
</t>
  </si>
  <si>
    <t xml:space="preserve">Rok 2016
I) Zasięg lokalny/regionalny – Operacje:
1) Stoiska informacyjne „Przykłady  i promocja  Sieci na rzecz innowacji w rolnictwie i na obszarach wiejskich”:
• XXVI Targi Rolniczo-Ogrodnicze w Kościerzynie. – 13 000 odwiedzających
• Targi Rolne „W Sercu Polski” XXIII Wojewódzka Wystawa Zwierząt Hodowlanych.  – 13000 odwiedzających
• XXV Promocyjno-Handlowa Wystawa Rolnicza ROL–SZANSA 2016. – 12000 odwiedzających
• Dożynki wojewódzkie w Piątku - 7000 odwiedzających
2) Stoiska targowe w ramach funkcjonowania:
• XXIV Targi Rolne AGROTECHNIKA – 12000 odwiedzających
II) Zasięg krajowy: 
1) Stoiska targowe w ramach funkcjonowania:
• XXIII Krajowe Dni Ziemniaka - Kościerzyński Dzień Ziemniaka – 15000 odwiedzających 
Rok 2017
I) Zasięg lokalny/regionalny – Operacje:
1) Stoisko informacyjne „Przykłady  i promocja  Sieci na rzecz innowacji w rolnictwie i na obszarach wiejskich”
• XXVII Targi Rolniczo-Ogrodnicze w Kościerzynie – 11000 odwiedzających 
• Targi Rolne „W Sercu Polski” XXIV Wojewódzka Wystawa Zwierząt Hodowlanych. – 12000 odwiedzających
• XXVI Promocyjno-Handlowa Wystawa Rolnicza ROL-SZANSA 2017 – 11000 odwiedzających
• Dożynki Wojewódzkie w Sędziejowicach – 5400 odwiedzających
2) Stoiska targowe w ramach funkcjonowania:
• XXV Targi Rolne AGROTECHNIKA – 10000 odwiedzających
3) Konferencja „Czas na ekologię” – 100 uczestników 
II) Zasięg międzynarodowy:
1) Stoiska targowe w ramach funkcjonowania:
• XVII Międzynarodowe Targi Ferma Bydła i XX Międzynarodowe Targi Ferma Świń i Drobiu – 31000 odwiedzających (źródło:  http://targiferma.com.pl/pl/start/)
</t>
  </si>
  <si>
    <t>Statystyka odwiedzin strony ŁODR - brak statystyk wejść na zakładkę SIR na stronie ŁODR</t>
  </si>
  <si>
    <t xml:space="preserve">Rok 2017
3 artykuły, relację, ogłoszenia umieszczone na stronie facebook ŁODR w Bratoszewicach </t>
  </si>
  <si>
    <t xml:space="preserve">Rok 2016
33 artykuły, relację, ogłoszenia umieszczone na stronie internetowej ŁODR w zakładce SIR
10 artykułów, informacji targowych, ogłoszeń itp. w lokalnych gazetach, miesięczniku ŁODR „RADA”, gazetkach targowych.
Rok 2017
38 artykuły, relację, ogłoszenia umieszczone na stronie internetowej ŁODR w zakładce SIR
10 artykułów, informacji targowych, ogłoszeń itp. w lokalnych gazetach, miesięczniku ŁODR „RADA”, gazetkach targowych.
</t>
  </si>
  <si>
    <t xml:space="preserve">Rok 2017 
Udział pracownika SIR w programie telewizyjnym na żywo TVP3 "Łodzią po regionie"
Udział pracownika SIR w programie telewizyjnym na żywo TVP3 "To jest temat"
</t>
  </si>
  <si>
    <t xml:space="preserve">Rok 2015:
I) Zasięg lokalny/regionalny - Operacje:
1) „Innowacyjne metody w genetycznym doskonaleniu bydła mlecznego”
2) „Innowacyjne technologie w przechowalnictwie owoców”
3) Spotkania i szkolenia przeprowadzone w ramach funkcjonowania – 15 spotkań                                                                                                                                                                                                                                                                         Rok 2016
I) Zasięg lokalny/regionalny – Operacje:
1) Seminarium „Owady zapylające – szansą na przetrwanie rolnictwa” część I – składa się z 1 dniowego szkolenia i 2 dniowego wyjazdu studyjnego
2) Seminarium „Innowacyjność w rolnictwie – szansą na rozwój” - 1 dzień
3) Seminarium „Innowacyjne technologie w przetwórstwie owocowo-warzywnym” - 1 dzień
4) Seminarium „Innowacyjny system utrzymania klimatu w budynkach inwentarskich” - 1 dzień
5) Spotkania i szkolenia przeprowadzone w ramach operacji „Działania informacyjno-aktywizujące brokera innowacji formą identyfikacji problemów w rolnictwie, mogących stanowić podstawę do powstawania innowacyjnych grup operacyjnych” oraz w ramach funkcjonowania – 53 spotkania 
Rok 2017
I) Zasięg lokalny/regionalny – Operacje:
1) Wyjazd studyjny pn. „Poszukiwanie i przygotowanie potencjalnych członków grup operacyjnych w województwie łódzkim – na przykładzie dobry praktyk z województwa opolskiego” – 2 dni
2) Seminarium pn. „Innowacyjne sposoby ochrony roślin sadowniczych” – 2 dni
3) Seminarium pn. "Nowości w produkcji trzody chlewnej" - 1 dzień
4) Wyjazd studyjny pn. „Innowacyjne i ekologiczne metody przetwórstwa produktów rolnych szansą na przetrwanie małych gospodarstw rolnych na ziemi łódzkiej” – 3 dni
5) Wyjazd studyjny pn. „Innowacyjne rozwiązania w uprawach ekologicznych, hodowli zwierząt, produkcji biopaliw wdrażane na terenach województwa podlaskiego” – 3 dni
6) Seminarium pn. „Owady zapylające – szansą na przetrwanie rolnictwa” część II – składa się z 1 dniowego szkolenia i 2 dniowego wyjazdu studyjnego
7) Szkolenie pn. „Postęp biologiczny w hodowli ziemniaka" - 1 dzień
8) Seminarium pn. „Innowacyjne sposoby ochrony roślin warzywnych” – 2 dni
9) Seminarium „Poszukiwanie i przygotowanie potencjalnych członków grup operacyjnych w województwie łódzkim” – operacja składała się z 4 jednodniowych warsztatów oraz 3 dniowego wyjazdu studyjnego 
10) Spotkania i szkolenia przeprowadzone w ramach operacji „Działania informacyjno-aktywizujące brokera innowacji formą identyfikacji problemów w rolnictwie, mogących stanowić podstawę do powstawania innowacyjnych grup operacyjnych” oraz w ramach funkcjonowania – 40 spotkań
</t>
  </si>
  <si>
    <t xml:space="preserve">Rok 2015:
I) Zasięg lokalny/regionalny - Operacje:
1) „Innowacyjne metody w genetycznym doskonaleniu bydła mlecznego” – 55 uczestników
2) „Innowacyjne technologie w przechowalnictwie owoców” – 52 uczestników 
3) Spotkania i szkolenia przeprowadzone w ramach funkcjonowania – 132 uczestników
Rok 2016
II) Zasięg lokalny/regionalny – Operacje:
1) „Owady zapylające – szansą na przetrwanie rolnictwa” część I – 54 uczestników
2) „Innowacyjność w rolnictwie – szansą na rozwój” – 49 uczestników 
3) „Innowacyjne technologie w przetwórstwie owocowo-warzywnym” – 48 uczestników
4) „Innowacyjny system utrzymania klimatu w budynkach inwentarskich” – 50 uczestników
5) Spotkania i szkolenia przeprowadzone w ramach operacji „Działania informacyjno-aktywizujące brokera innowacji formą identyfikacji problemów w rolnictwie, mogących stanowić podstawę do powstawania innowacyjnych grup operacyjnych” oraz w ramach funkcjonowania – 436 uczestników 
Rok 2017
II) Zasięg lokalny/regionalny – Operacje:
1) Wyjazd studyjny pn. „Poszukiwanie i przygotowanie potencjalnych członków grup operacyjnych w województwie łódzkim – na przykładzie dobry praktyk z województwa opolskiego” – 30 uczestników
2) Seminarium pn. „Innowacyjne sposoby ochrony roślin sadowniczych” – 40 uczestników
3) Seminarium pn. "Nowości w produkcji trzody chlewnej" – 65 uczestników
4) Wyjazd studyjny pn. „Innowacyjne i ekologiczne metody przetwórstwa produktów rolnych szansą na przetrwanie małych gospodarstw rolnych na ziemi łódzkiej” – 30 uczestników
5) Wyjazd studyjny pn. „Innowacyjne rozwiązania w uprawach ekologicznych, hodowli zwierząt, produkcji biopaliw wdrażane na terenach województwa podlaskiego” – 50 uczestników
6) Seminarium pn. „Owady zapylające – szansą na przetrwanie rolnictwa” – 50 uczestników
7) Szkolenie pn. „Postęp biologiczny w hodowli ziemniaka" – 65 uczestników
8) Seminarium pn. „Innowacyjne sposoby ochrony roślin warzywnych” – 40 uczestników
9) Seminarium „Poszukiwanie i przygotowanie potencjalnych członków grup operacyjnych w województwie łódzkim” – operacja składała się z 4 jednodniowych warsztatów łącznie 120 uczestników oraz 3 dniowego wyjazdu studyjnego – 38 uczestników
10) Spotkania i szkolenia przeprowadzone w ramach operacji „Działania informacyjno-aktywizujące brokera innowacji formą identyfikacji problemów w rolnictwie, mogących stanowić podstawę do powstawania innowacyjnych grup operacyjnych” oraz w ramach funkcjonowania – 318 uczestników
</t>
  </si>
  <si>
    <t>rolnicy, hodowcy, plantatorzy, przedsiębiorcy, weterynarze, pracownicy instytutów naukowych i uczelni itp..</t>
  </si>
  <si>
    <t>Wynagrodzenia pracownikiów wraz z kosztami pracodawcy; Materiały, energia, remont, sprzątanie pomieszczeń, usł. telekomunikacyjne, podróże służbowe, ZFŚS</t>
  </si>
  <si>
    <t>Małopolski Ośrodek Doradztwa Rolniczego w Karniowicach (stan na dzień 2017-12-31)</t>
  </si>
  <si>
    <t xml:space="preserve">Na stronie  Małopolskiego Ośrodka Doradztwa Rolniczego w Karniowicach od 2016 znajdowała się zakładka dotycząca działań SIR, która była na bieżąco aktualizowana. Strona nie posiadała  funkcjonalności pozwalającej na analizowanie szczegółowych statystyk odwiedzin, stąd niemożliwe jest określenie liczby wejść na podstronę SIR.  </t>
  </si>
  <si>
    <t>W kolumnie inne wskazano 2 konferencje.</t>
  </si>
  <si>
    <t>W ramach przedstawicieli innych grup interesariuszy uwzględniono w szczególności  rolników oraz przedsiębiorców.</t>
  </si>
  <si>
    <t>Koszty funkcjonowania obejmowały wynagrodzenia pracowników biura SIR wraz z pochodnymi oraz koszty przejazdów a w 2015 roku również zakup sprzetu komputerowego, wyposażenia biura oraz materialów biurowych.</t>
  </si>
  <si>
    <t>Mazowiecki Ośrodek Doradztwa Rolniczego</t>
  </si>
  <si>
    <t>W roku 2015 i  2016: 1.Mazowieckie Dni Rolnictwa w Płońsku - impreza o zasięgu krajowym, której MODR jest organizatorem. Podczas  Mazowieckich Dni Rolnictwa  
zorganizowano punkt konsultacyjny dla Instytutów na temat innowacji. 2. Stoisko promocyjne SIR podczas Międzynarodowych Dni z Doradztwem w Siedlcach 2017: 1. Stoisko promocyjne podczas Mazowieckich Dni Rolnictwa w Płońsku. 2. Stosiko promocyjne podczas MIędzynarodowych Dni z Doradztwem Rolniczym w Siedlcach</t>
  </si>
  <si>
    <t xml:space="preserve">2015: nie da się precyzyjnie oszacować ilości odwiedzających stoisko. Przyjęto szacunkową ilośc odwiedzających stoisko po ok 100.  2016: 1. Mazowieckie Dni Rolnictwa w Płońsku - impreza o zasięgu krajowym, punkt konsultacyjny odwiedziło ok. 100 osób (oszacowano na podstawie rozdanych ulotek SIR).                                                      2. XXIII Międzynarodowe Dni z Doradztwem w Siedlcach - impreza o zasięgu krajowym- ok. 100 tys. odwiedzających. Rozdano 150 ulotek dlatego liczbę osób odzwiedzających stoisko oszacowano na tej podstawie.                           2017: 1. Mazowieckie Dni Rolnictwa w Płońsku - impreza o zasięgu krajowym, punkt konsultacyjny odwiedziło ok. 100 osób (oszacowano na podstawie rozdanych ulotek SIR). Międzynarodowe Dni z Doradztwem w Siedlcach - impreza o zasięgu krajowym </t>
  </si>
  <si>
    <t>zakładka SIR na stronie internetowej www.modr.mazowsze.pl</t>
  </si>
  <si>
    <t xml:space="preserve"> INNE - 2016: 1. "Możliwości utylizacji odpadów organicznych, poprawy plonowania i właściwości gleb przez zastosowanie biowęgla" - organizator, 1 konferencja dla 50 osób  2. Perspektywy kreowania korytarzy ekologicznych w skali lokalnej z korzyścią dla przyrody i rolnika -organizator -  1 spotkanie dla 50 osób 3. Konferecja "Utworzenie Mazowieckiego Parku Naukowo Technologicznego Poświętne w Płońsku" 4. "Nauka praktyce w obszarze innowacyjnych technologii rolniczych w kształtowaniu i ochronie środowiska" 3 konferencje. 2017: 1. konferencja "Przetwórstwo owocow-warzywne na poziomie gospodasrtwa, obszarem partnerstwa do współpracy w ramach PROW 2014-2020" 2. konferencja "Poprawa bazy paszoej dla bydła z zastosowaniem innowacyjnych rozwiązań w przygotowaniu i zadawaniu pasz"</t>
  </si>
  <si>
    <t>1. "Możliwości utylizacji odpadów organicznych, poprawy plonowania i właściwości gleb przez zastosowanie biowęgla" -      1 konferencja dla 50 osób      2. 3 konferencje w ramach operacji "Nauka praktyce w kształtoaniu i ochronie środowiska"                                                 3. Perspektywy kreowania korytarzy ekologicznych w skali lokalnej z korzyścią dla przyrody i rolnika - 1 spotkanie dla 50 osób                     4. Konferencja w ramach operacji "Utworzenie Mazowieckiego PArku Naukowo Technologicznego Poświętne w Płońsku" 2017: 1. konferencja "Przetwórstwo owocow-warzywne na poziomie gospodasrtwa, obszarem partnerstwa do współpracy w ramach PROW 2014-2020" 2. konferencja "Poprawa bazy paszoej dla bydła z zastosowaniem innowacyjnych rozwiązań w przygotowaniu i zadawaniu pasz"    Grupa innych interesariuszy stanowią rolnicy/mieszkańcy obszarów wiejskich/przetwórcy/     producenci rolni</t>
  </si>
  <si>
    <t xml:space="preserve">Wydarzenia z tab. 1 były organizowane przy okazji dużych imprez MODR i na ich organizację nie wykorzystywano środków SIR. Strona internetowa - zakładka SIR funkcjonuje w ramach strony www.modr.mazowsze.pl i nie generuje kosztów.  2016 - utrzymanie 1 etatu koordynatora (2 osoby po 50%); 2017 - od stycznia 1 etat koordynator, od lutego 50% etatu broker innowacji, od września 50% etatu broker innowacji </t>
  </si>
  <si>
    <t>Opolski Ośrodek Doradztwa Rolniczego w Łosiowie</t>
  </si>
  <si>
    <r>
      <rPr>
        <b/>
        <sz val="10"/>
        <color indexed="8"/>
        <rFont val="Calibri"/>
        <family val="2"/>
        <charset val="238"/>
      </rPr>
      <t>ROK 2016</t>
    </r>
    <r>
      <rPr>
        <sz val="10"/>
        <color indexed="8"/>
        <rFont val="Calibri"/>
        <family val="2"/>
        <charset val="238"/>
      </rPr>
      <t xml:space="preserve"> Operacja 1 pn.:"Sieć na rzecz innowacji w rolnictwie i na obszarach wiejskich dla województwa opolskiego", obejmująca 1 konferencję (maj) i 6 spotkań informacyjno-szkoleniowych (październik)-P1; Operacja 2 pn.:"Forum Agro Inwestor OZE - dobre przykłady wdrażania innowacji. Gospodarka niskoemisyjna w rolnictwie", obejmująca 1 forum (maj)-P1,P5; Operacja 3 pn.:"Konferencja promująca innowacyjność i dobre praktyki w gospodarstwach rolnych, przedsiębiorstwach przetwórstwa rolno-spożywczego i usług rolniczych biorących udział w konkursie AgroLiga 2016", obejmująca 1 konferencję (czerwiec)-P1,P2; Operacja 4 pn."W przyjaźni z naturą", obejmująca 11 warsztatów (wrzesień-październik), 1 konferencję (listopad), 1 katalog (listopad) -P1,P5; Operacja 5 pn."Zrozumieć innowacje w rolnictwie i na obszarach wiejskich – ponadregionalna wymiana doświadczeń w zakresie funkcjonowania SIR na przykładzie działań tworzenia sieci kontaktów i wdrażania innowacji na obszarach wiejskich", obejmująca 1 warsztat (listopad)-P1; Operacja 6 pn.:"Przedsiębiorczość na obszarach wiejskich – innowacyjność organizacyjna i marketingowa”,obejmująca 1 warsztat-P1,P2; współorganizacja wydarzeń krajowych: Urząd Marszałkowski Województwa Opolskiego,Politechnika Opolska, Uniwersytet Ekonomiczny we Wrocławiu, Uniwersytet Opolski </t>
    </r>
    <r>
      <rPr>
        <b/>
        <sz val="10"/>
        <color indexed="8"/>
        <rFont val="Calibri"/>
        <family val="2"/>
        <charset val="238"/>
      </rPr>
      <t>ROK 2017</t>
    </r>
    <r>
      <rPr>
        <sz val="10"/>
        <color indexed="8"/>
        <rFont val="Calibri"/>
        <family val="2"/>
        <charset val="238"/>
      </rPr>
      <t xml:space="preserve"> Operacja 1 Wydanie publikacji pn.: "Zrozumieć innowacje w rolnictwie - informacje wybrane", obejmująca wydanie publikacji w nakładzie 300 sztuk (wrzesień) - P1; Operacja 2 Wyjazd studyjny pn.: "Innowacyjne formy współdziałania producentów rolnych" (wrzesień), obejmująca jeden wyjazd studyjny-P1; Operacja 3 pn.:"Rolnictwo precyzyjne drogą do zwiększenia innowacyjności rolnictwa", obejmująca jedne warsztaty (październik)-P1;</t>
    </r>
  </si>
  <si>
    <r>
      <rPr>
        <b/>
        <sz val="10"/>
        <color indexed="8"/>
        <rFont val="Calibri"/>
        <family val="2"/>
        <charset val="238"/>
      </rPr>
      <t>ROK 2016</t>
    </r>
    <r>
      <rPr>
        <sz val="10"/>
        <color indexed="8"/>
        <rFont val="Calibri"/>
        <family val="2"/>
        <charset val="238"/>
      </rPr>
      <t xml:space="preserve"> liczba uczestników Operacja 1 pn.:"Sieć na rzecz innowacji w rolnictwie i na obszarach wiejskich dla województwa opolskiego"-320 osób, w tym: konferencja 80 osób, 6 szkoleń 240 osób; liczba uczestników Operacja 2 pn.:"Forum Agro Inwestor OZE - dobre przykłady wdrażania innowacji. Gospodarka niskoemisyjna w rolnictwie": 80 osób; liczba uczestników Operacja 3 pn.:"Konferencja promująca innowacyjność i dobre praktyki w gospodarstwach rolnych, przedsiębiorstwach przetwórstwa rolno-spożywczego i usług rolniczych biorących udział w konkursie AgroLiga 2016"-100 osób; liczba uczestników Operacja 4 pn.:"W przyjaźni z naturą"- 168 osób, w tym: konferencja 80 osób, 11 warsztatów 88 osób; liczba uczestników Operacja 5 pn.:"Zrozumieć innowacje w rolnictwie i na obszarach wiejskich – ponadregionalna wymiana doświadczeń w zakresie funkcjonowania SIR na przykładzie działań tworzenia sieci kontaktów i wdrażania innowacji na obszarach wiejskich"-25 osób; liczba uczestników Operacja 6 pn.:"Przedsiębiorczość na obszarach wiejskich-innowacyjność organizacyjna i marketingowa"-35 osób; </t>
    </r>
    <r>
      <rPr>
        <b/>
        <sz val="10"/>
        <color indexed="8"/>
        <rFont val="Calibri"/>
        <family val="2"/>
        <charset val="238"/>
      </rPr>
      <t>ROK 2017</t>
    </r>
    <r>
      <rPr>
        <sz val="10"/>
        <color indexed="8"/>
        <rFont val="Calibri"/>
        <family val="2"/>
        <charset val="238"/>
      </rPr>
      <t xml:space="preserve"> Operacja 2 Wyjazd studyjny pn.: "Innowacyjne formy współdziałania producentów rolnych"- 30 osób; Operacja 3 "Rolnictwo precyzyjne drogą do zwiększenia innowacyjności rolnictwa" - 30 osób</t>
    </r>
  </si>
  <si>
    <r>
      <rPr>
        <b/>
        <sz val="10"/>
        <color indexed="8"/>
        <rFont val="Calibri"/>
        <family val="2"/>
        <charset val="238"/>
      </rPr>
      <t>ROK 2016</t>
    </r>
    <r>
      <rPr>
        <sz val="10"/>
        <color indexed="8"/>
        <rFont val="Calibri"/>
        <family val="2"/>
        <charset val="238"/>
      </rPr>
      <t xml:space="preserve"> całkowita liczba wizyt na stronie oodr.pl z zakładką SIR od dnia 01.01.2016 r. do dnia 31.12.2016 r. </t>
    </r>
    <r>
      <rPr>
        <b/>
        <sz val="10"/>
        <color indexed="8"/>
        <rFont val="Calibri"/>
        <family val="2"/>
        <charset val="238"/>
      </rPr>
      <t>ROK 2017</t>
    </r>
    <r>
      <rPr>
        <sz val="10"/>
        <color indexed="8"/>
        <rFont val="Calibri"/>
        <family val="2"/>
        <charset val="238"/>
      </rPr>
      <t xml:space="preserve"> Statystyki strony www.sir.oodr.pl od dnia 01.01.2017 r. do dnia 31.12.2017 r.</t>
    </r>
  </si>
  <si>
    <r>
      <rPr>
        <b/>
        <sz val="10"/>
        <color theme="1"/>
        <rFont val="Calibri"/>
        <family val="2"/>
        <charset val="238"/>
        <scheme val="minor"/>
      </rPr>
      <t xml:space="preserve">ROK 2016 </t>
    </r>
    <r>
      <rPr>
        <sz val="10"/>
        <color theme="1"/>
        <rFont val="Calibri"/>
        <family val="2"/>
        <charset val="238"/>
        <scheme val="minor"/>
      </rPr>
      <t xml:space="preserve">łączna liczba publikacji: 2 publikacje w ramach dwóch operacji ,tj. Operacja 1 pn.:"Konferencja promująca innowacyjność i dobre praktyki w gospodarstwach rolnych, przedsiębiorstwach przetwórstwa rolno-spożywczego i usług rolniczych biorących udział w konkursie AgroLiga 2016"- P1,P2-katalog w nakładzie 120 sztuk; Operacja 2 pn.:"W przyjaźni z naturą"-P1,P5-katalog w nakładzie 500 sztuk </t>
    </r>
    <r>
      <rPr>
        <b/>
        <sz val="10"/>
        <color theme="1"/>
        <rFont val="Calibri"/>
        <family val="2"/>
        <charset val="238"/>
        <scheme val="minor"/>
      </rPr>
      <t>ROK 2017</t>
    </r>
    <r>
      <rPr>
        <sz val="10"/>
        <color theme="1"/>
        <rFont val="Calibri"/>
        <family val="2"/>
        <charset val="238"/>
        <scheme val="minor"/>
      </rPr>
      <t xml:space="preserve"> 1 publikacja pn.: "Zrozumieć innowacje w rolnictwie - informacje wybrane" w nakładzie 300 sztuk w ramach Operacji 1; dodatkowo publikacja 9 artykułów o tematyce innowacji w rolnictwie (bez ponoszenia kosztów) </t>
    </r>
  </si>
  <si>
    <r>
      <rPr>
        <b/>
        <sz val="10"/>
        <color indexed="8"/>
        <rFont val="Calibri"/>
        <family val="2"/>
        <charset val="238"/>
      </rPr>
      <t>ROK 2016</t>
    </r>
    <r>
      <rPr>
        <sz val="10"/>
        <color indexed="8"/>
        <rFont val="Calibri"/>
        <family val="2"/>
        <charset val="238"/>
      </rPr>
      <t xml:space="preserve"> 2 filmy-P1,P2; 1 konkurs-P1,P5; 2 spoty radiowe-P1,P5; 2 ogłoszenia w prasie-P1,P5;1 ogłoszenie na portalu internetowym-P1,P5; 3 zaproszenia dla uczestników wydarzeń-P1,P2,P5</t>
    </r>
  </si>
  <si>
    <r>
      <rPr>
        <b/>
        <sz val="10"/>
        <color theme="1"/>
        <rFont val="Calibri"/>
        <family val="2"/>
        <charset val="238"/>
        <scheme val="minor"/>
      </rPr>
      <t>ROK 2016</t>
    </r>
    <r>
      <rPr>
        <sz val="10"/>
        <color theme="1"/>
        <rFont val="Calibri"/>
        <family val="2"/>
        <scheme val="minor"/>
      </rPr>
      <t xml:space="preserve"> całkowita liczb szkoleń/warsztatów w ramach Operacji-19, w tym: 6 szkoleń w ramach Operacji 1 pn.:"Konferencja i spotkania informacyjno-szkoleniowe pt.:Sieć na rzecz innowacji w rolnictwie i na obszarach wiejskich dla województwa opolskiego", 11 warsztatów w ramach Operacji 2 pn.:"Organizacja zadania pt.:W przyjaźni z naturą, obejmującego konferencję, konkursy i warsztaty, promującego innowacyjne rozwiązania w gospodarstwach rolnych", 1 warsztat w ramach Operacji 3 pn.:"Zrozumieć innowacje w rolnictwie i na obszarach wiejskich – ponadregionalna wymiana doświadczeń w zakresie funkcjonowania SIR na przykładzie działań tworzenia sieci kontaktów i wdrażania innowacji na obszarach wiejskich", 1 warsztat w ramach Operacji 4 pn.:"Szkolenie w formie warsztatów pt.:Przedsiębiorczość na obszarach wiejskich – innowacyjność organizacyjna i marketingowa” </t>
    </r>
    <r>
      <rPr>
        <b/>
        <sz val="10"/>
        <color theme="1"/>
        <rFont val="Calibri"/>
        <family val="2"/>
        <charset val="238"/>
        <scheme val="minor"/>
      </rPr>
      <t>ROK 2017</t>
    </r>
    <r>
      <rPr>
        <sz val="10"/>
        <color theme="1"/>
        <rFont val="Calibri"/>
        <family val="2"/>
        <scheme val="minor"/>
      </rPr>
      <t xml:space="preserve"> przeprowadzenie spotkań informacyjno-szkoleniowych dot. działania Współpraca i tworzenia grup operacyjnych oraz informowania o SIR wraz z promocją - 50 spotkań (bez ponoszenia kosztów); 1 warsztat w ramach Operacji 3 pn.: "Rolnictwo precyzyjne drogą do zwiększenia innowacyjności rolnictwa"; 1 szkolenie w formie wyjazdu studyjnego w ramach Operacji 2 pn.: "Innowacyjne formy współdziałania producentów rolnych"</t>
    </r>
  </si>
  <si>
    <r>
      <rPr>
        <b/>
        <sz val="10"/>
        <color indexed="8"/>
        <rFont val="Calibri"/>
        <family val="2"/>
        <charset val="238"/>
      </rPr>
      <t>ROK 2016</t>
    </r>
    <r>
      <rPr>
        <sz val="10"/>
        <color indexed="8"/>
        <rFont val="Calibri"/>
        <family val="2"/>
        <charset val="238"/>
      </rPr>
      <t xml:space="preserve"> łączna liczba uczestników szkoleń/warsztatów w ramach czterech Operacji-388 osób, w tym: 6 szkoleń w ramach Operacji 1 pn.:"Konferencja i spotkania informacyjno-szkoleniowe pt.:Sieć na rzecz innowacji w rolnictwie i na obszarach wiejskich dla województwa opolskiego"-240 osób, 11 warsztatów w ramach Operacji 2 pn.:"Organizacja zadania pt.:W przyjaźni z naturą, obejmującego konferencję, konkursy i warsztaty, promującego innowacyjne rozwiązania w gospodarstwach rolnych"-88 osób, 1 warsztat w ramach Operacji 3 pn.:"Zrozumieć innowacje w rolnictwie i na obszarach wiejskich – ponadregionalna wymiana doświadczeń w zakresie funkcjonowania SIR na przykładzie działań tworzenia sieci kontaktów i wdrażania innowacji na obszarach wiejskich"-25 osób, 1 warsztat w ramach Operacji 4 pn.:"Szkolenie w formie warsztatów pt.:Przedsiębiorczość na obszarach wiejskich – innowacyjność organizacyjna i marketingowa”-35 osób </t>
    </r>
    <r>
      <rPr>
        <b/>
        <sz val="10"/>
        <color indexed="8"/>
        <rFont val="Calibri"/>
        <family val="2"/>
        <charset val="238"/>
      </rPr>
      <t>ROK 2017</t>
    </r>
    <r>
      <rPr>
        <sz val="10"/>
        <color indexed="8"/>
        <rFont val="Calibri"/>
        <family val="2"/>
        <charset val="238"/>
      </rPr>
      <t xml:space="preserve"> liczba uczestników spotkań informacyjno-szkoleniowych związanych z działaniem Współpraca i tworzeniem grup operacyjnych oraz informowania o SIR wraz z promocją (bez ponoszenia kosztów) - 1308 osób; liczba uczestników warsztatów pn.: "Rolnictwo precyzyjne drogą do zwiększenia innowacyjności rolnictwa" w ramach Operacji 3 - 30 osób; liczba uczestników wyjazdu studyjnego pn.: "Innowacyjne formy współdziałania producentów rolnych" w ramach Operacji 2 - 30 osób;</t>
    </r>
  </si>
  <si>
    <t>funkcjonowanie SIR w okresach: 01.01-31.12.2016 r. oraz 01.01.-30.06.2017 r., w tym: koszty delegacji, szkolenia pracowników, wynagrodzenia pracowników, wyposarzenie biura, art.. Biurowe i inne koszty rodzajowe w ramach wydatków bieżących</t>
  </si>
  <si>
    <t>PODKARPACKI OŚRODEK DORADZTWA ROLNICZEGO</t>
  </si>
  <si>
    <r>
      <t>Komentarze</t>
    </r>
    <r>
      <rPr>
        <sz val="12"/>
        <color indexed="8"/>
        <rFont val="Calibri"/>
        <family val="2"/>
      </rPr>
      <t xml:space="preserve"> 
(proszę wskazać co jest rozumiane przez kategorię "inne")</t>
    </r>
  </si>
  <si>
    <r>
      <t xml:space="preserve">
Rok 2016 
1 . konferencje- 5
2..udział w targach i innych imprezach promocyjnych- 6 -2016 
3.spotkania informacyjne dot. tematyki ,, Odnawialne Źródła Energii jako alternatywne rozwiązania stosowane w rolnictwie, leśnictwie i przetwórstwie '' - 21  
 </t>
    </r>
    <r>
      <rPr>
        <b/>
        <sz val="10"/>
        <rFont val="Calibri"/>
        <family val="2"/>
        <charset val="238"/>
      </rPr>
      <t>Rok 2017 ( 01-06)</t>
    </r>
    <r>
      <rPr>
        <sz val="10"/>
        <rFont val="Calibri"/>
        <family val="2"/>
        <charset val="238"/>
      </rPr>
      <t xml:space="preserve">
 1.  spotkanie informacyjne partnerów KSOW  dot. realizacji operacji w ramach Planu operacyjnego KSOW 2016-2017   - 1  
 2. udział w dwudniowych targachDni Otwartych Drzwi Podkarpackiego Ośrodek Doradztwa Rolniczego w Boguchwale oraz XIX Regionalnej Wystawy    Zwierząt Hodowlanych - Boguchwała 2017,-( w ktorych uczestniczylo ok. 30 000 osób) -   1 
3.konferencja dot.  Profilaktyka zdrowia podczas którego przedstawiona została tematyka związana z działalnoscią SIR i działaniem ,, Współpraca''  - 1 
4.szkolenie dot. płatności obszarowych podczas którego przedstawiona została tematyka związana z działalnoscią SIR: zasady funkcjonowania, cele, roli PODR (w zakresie SIR) - 1 5.konferencja dot. rolniczego handlu detalicznego  podczas której przedstawiona została tematyka związana z działalnoscią SIR: zasady funkcjonowania, cele, roli PODR (w zakresie SIR oraz działania ,,Współpraca'' - 1 
6. konferencja dot. profilaktyki prozdrowotnej   podczas której przedstawiona została tematyka związana z działalnoscią SIR: zasady funkcjonowania, cele, roli PODR (w zakresie SIR oraz działania ,,Współpraca'' w ramach PROW 2014-2020 - 1 
7. konferencja ,, Innowacyjne metody w chowie bydła mlecznego i mięsnego zmierzające do produkcji wysokiej jakości markowego mleka i mięsa,, - 1 
(07-12)
8.  spotkanie informacyjno-promocyjne- Funkcjonowanie SIR oraz zasady przyznawania pomocy w ramach dzialania ,,Współpraca'' - 3 
9.spotkanie dot. działania współpraca - Zasady przyznawania pomocy w ramach działania ,,Współpraca" -5 
10. konferencja ,, Nowe rozwiazania z zakrsu OZE w gospodarstwie rolnym'' - 1
11. konferencja ,, Ekologiczna produkcja owoców miekkich'' -1 
12. konferencja ,, Ochrona wód w gospodarstwach rolnych ''- 1 
13. konferencja ,, Innowacyjność agroturystyki i turystyki wiejskiej'' - 1 
14. konferencja ,, Innowacyjne metody chowu i hodowli królików’’ - 1 
Uczestnikami wszystkich wydarzeń byli rolnicy, leśnicy ,  przedsiębiorcy, doradcy , przedstawiciele instytucji rolniczych i okłorolniczych. 
</t>
    </r>
  </si>
  <si>
    <r>
      <t xml:space="preserve">
</t>
    </r>
    <r>
      <rPr>
        <b/>
        <sz val="10"/>
        <rFont val="Calibri"/>
        <family val="2"/>
        <charset val="238"/>
      </rPr>
      <t xml:space="preserve">Rok 2016 </t>
    </r>
    <r>
      <rPr>
        <sz val="10"/>
        <rFont val="Calibri"/>
        <family val="2"/>
        <charset val="238"/>
      </rPr>
      <t xml:space="preserve">
- spotkania informacyjne dot. tematyki ,, Odnawialne Źródła Energii jako alternatywne rozwiązania stosowane w rolnictwie, leśnictwie i przetwórstwie '' 1 szt  - 315 osób  - 2016
</t>
    </r>
    <r>
      <rPr>
        <b/>
        <sz val="10"/>
        <rFont val="Calibri"/>
        <family val="2"/>
        <charset val="238"/>
      </rPr>
      <t xml:space="preserve">
ROK 2017</t>
    </r>
    <r>
      <rPr>
        <sz val="10"/>
        <rFont val="Calibri"/>
        <family val="2"/>
        <charset val="238"/>
      </rPr>
      <t xml:space="preserve">
 1.spotkanie informacyjne partnerów KSOW  dot. realizacji operacji w ramach Planu operacyjnego KSOW 2016-2017   - 19 uczestników
  2.udział w dwudniowych targachDni Otwartych Drzwi Podkarpackiego Ośrodek Doradztwa Rolniczego w Boguchwale oraz XIX Regionalnej Wystawy    Zwierząt Hodowlanych - Boguchwała ( w ktorych uczestniczylo ok. 30 000 osób) 
3.konferencja dot.  Profilaktyka zdrowia podczas którego przedstawiona została tematyka związana z działalnoscią SIR i działaniem ,, Współpraca''  - 72 uczestników 
4.szkolenie dot. płatności obszarowych podczas którego przedstawiona została tematyka związana z działalnoscią SIR: zasady funkcjonowania, cele, roli PODR (w zakresie SIR) - 117uczestników
 5.  konferencja dot. rolniczego handlu detalicznego  podczas której przedstawiona została tematyka związana z działalnoscią SIR: zasady funkcjonowania, cele, roli PODR (w zakresie SIR oraz działania ,,Współpraca'' - 74 uczestników 
6. konferencja dot. profilaktyki prozdrowotnej   podczas której przedstawiona została tematyka związana z działalnoscią SIR: zasady funkcjonowania, cele, roli PODR (w zakresie SIR oraz działania ,,Współpraca'' w ramach PROW 2014-2020 -  60 uczestników 
7. konferencja ,, Innowacyjne metody w chowie bydła mlecznego i mięsnego zmierzające do produkcji wysokiej jakości markowego mleka i mięsa,, - 80 uczestników   
8.  spotkanie informacyjno-promocyjne- Funkcjonowanie SIR oraz zasady przyznawania pomocy w ramach dzialania ,,Współpraca'' - 50 uczestników
9.spotkanie dot. działania współpraca - Zasady przyznawania pomocy w ramach działania ,,Współpraca"  113 uczestników
10. konferencja ,, Nowe rozwiazania z zakrsu OZE w gospodarstwie rolnym'' - 54 uczestników
11. konferencja ,, Ekologiczna produkcja owoców miekkich'' -61 uczestników
12. konferencja ,, Ochrona wód w gospodarstwach rolnych ''- 25 uczestników
13. konferencja ,, Innowacyjność agroturystyki i turystyki wiejskiej'' -44 uczestników
14. konferencja ,, Innowacyjne metody chowu i hodowli królików’’ - 80 uczestników 
</t>
    </r>
  </si>
  <si>
    <t>dane zostały podane na podstawie statystyk panelu strony w systemie CMS</t>
  </si>
  <si>
    <t>2017 
1. artykuły na facebooku 4 artykuły</t>
  </si>
  <si>
    <t xml:space="preserve">
1.opracowano ulotki informacyjną dot. funkcjonowania SIR i rozpropagowano w ilosci - 3 szt nakład 400 szt. - 2016
2. Opracownie ulotki informacyjnej 1 szt - 50 szt - 2016
3. opracowanie uotki informacyjnej dot działania ,, Współpraca''  - 1 szt - naklad 200 szt - 2017
4. .opracowano ulotki informacyjną dot. funkcjonowania SIR i rozpropagowano w ilosci -1 szt nakład 200 szt
</t>
  </si>
  <si>
    <r>
      <t>Komentarze</t>
    </r>
    <r>
      <rPr>
        <sz val="11"/>
        <color indexed="8"/>
        <rFont val="Calibri"/>
        <family val="2"/>
      </rPr>
      <t xml:space="preserve"> 
(proszę wskazać co jest rozumiane przez kategorię "inne")</t>
    </r>
  </si>
  <si>
    <r>
      <t xml:space="preserve">
</t>
    </r>
    <r>
      <rPr>
        <b/>
        <sz val="10"/>
        <rFont val="Calibri"/>
        <family val="2"/>
        <charset val="238"/>
        <scheme val="minor"/>
      </rPr>
      <t>2016</t>
    </r>
    <r>
      <rPr>
        <sz val="10"/>
        <rFont val="Calibri"/>
        <family val="2"/>
        <charset val="238"/>
        <scheme val="minor"/>
      </rPr>
      <t xml:space="preserve">
1. konsultacje z Prorektorem  ds.. Rozwoju i Polityki Finansowej dot. wdrażania działania ,,Współpraca'' - 1 - 2016
2.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doradczej.-1 - 2016
3.konsultacje z przedstawicielem  Małopolskiego Centrum  biotechniki sp. zo.o w Krasnem  dotyczące aplikacji w ramach działania ,, Współprca ''.  Tematem spotkania było wdrożenie  krzyżówki  bydła mięsnego na terenie Podkarpacia  o wysokich parametrach mięsnych i mlecznych . - 1 - 2016 
</t>
    </r>
    <r>
      <rPr>
        <b/>
        <sz val="10"/>
        <rFont val="Calibri"/>
        <family val="2"/>
        <charset val="238"/>
        <scheme val="minor"/>
      </rPr>
      <t xml:space="preserve">01-06. 2017  </t>
    </r>
    <r>
      <rPr>
        <sz val="10"/>
        <rFont val="Calibri"/>
        <family val="2"/>
        <charset val="238"/>
        <scheme val="minor"/>
      </rPr>
      <t xml:space="preserve">
1. konsultacje z partnerami KSOW ws. tworzenia grup operacyjnych - 1 szt - 6 uczestników - 2017 
2. konsultacje z potencjalnymi członkami grupy operacyjnej - 1 szt - 5 uczestników 
3. robocze spotkanie potencjalnej grupy operacyjnej dot. innowacyjnego chowu królików, omowienie zasad przyznawania pomocy działania ,,wspólpraca '' w ramach PROW 2014-2020 - 1  - 8 uczestników 
4. robocze spotkanie potencjalnych członków grupy operacyjnej omówienie zasad przyznawania pomocy działania ,,Wspólpraca '' w ramach PROW 2014-2020 - 1 - 3 uczestników 
</t>
    </r>
    <r>
      <rPr>
        <b/>
        <sz val="10"/>
        <rFont val="Calibri"/>
        <family val="2"/>
        <charset val="238"/>
        <scheme val="minor"/>
      </rPr>
      <t>07-12.2017</t>
    </r>
    <r>
      <rPr>
        <sz val="10"/>
        <rFont val="Calibri"/>
        <family val="2"/>
        <charset val="238"/>
        <scheme val="minor"/>
      </rPr>
      <t xml:space="preserve">
5. robocze spotkania z potencjalnymi członkami grup operacyjnych - 10 -30 uczestników
</t>
    </r>
  </si>
  <si>
    <r>
      <rPr>
        <b/>
        <sz val="10"/>
        <color theme="1"/>
        <rFont val="Calibri"/>
        <family val="2"/>
        <charset val="238"/>
        <scheme val="minor"/>
      </rPr>
      <t>2016</t>
    </r>
    <r>
      <rPr>
        <sz val="10"/>
        <color theme="1"/>
        <rFont val="Calibri"/>
        <family val="2"/>
        <charset val="238"/>
        <scheme val="minor"/>
      </rPr>
      <t xml:space="preserve">
1.. Liczba spotkań aktywizujących potencjalnych partnerów   - 6
</t>
    </r>
    <r>
      <rPr>
        <b/>
        <sz val="10"/>
        <color theme="1"/>
        <rFont val="Calibri"/>
        <family val="2"/>
        <charset val="238"/>
        <scheme val="minor"/>
      </rPr>
      <t xml:space="preserve">01-06. 2017  </t>
    </r>
    <r>
      <rPr>
        <sz val="10"/>
        <color theme="1"/>
        <rFont val="Calibri"/>
        <family val="2"/>
        <charset val="238"/>
        <scheme val="minor"/>
      </rPr>
      <t xml:space="preserve">
- spotkania informacyjne  w celu tworzenia grupy operacyjnej , której potencjalnymi członkami mają zostać :
1.  Małopolskie Centrum  Biotechniki sp. zo.o w Krasnem -  zainteresowane  aplikacąi w ramach działania ,, Współprca ''.  Tematem spotkania było wdrożenie  krzyżówki  bydła mięsnego na terenie Podkarpacia  o wysokich parametrach mięsnych i mlecznych ora aspekty ekonomiczne tego rozwiązania   -    2
2. Zaklad Doświadczalny Instytutu Zootechniki PIB z Odrzechowej - zainteresowane  aplikacąi w ramach działania ,, Współprca ''. - temat -  Wpływ nawożenia pofermentem z biogazowni  na wzrost kukurydzy  i uzytków zielonych  stosując go bezpośrednio  poprzez rozlewania za pomoca nawożenia kropelkowego    - 1 
3.rolnik indywidualny - pszczelarz zainteresowany  aplikacą w ramach działania ,, Współprca ''.-Temat - Wprowadzenie nowego produktu na rynek w postaci miodu skrzypowego - 1 
4. Sotkanie z przedstawicielami potencjalnych członków grupy operacyjnej (w zakresie hodowli królików) przy współudziale Urzędu Wojewódzkiego  zainteresowanych aplikacą w ramach działania ,, Współprca ''.  Uczestnikami spotkania byli:  przedstawiciele Zakładu Doświadczalnego Instytutu Zootechniki PIB Chorzelów Sp. z o, przedstawiciel Urzędu Wojewódzkiego , przedstawiciel Urzędu Marszałkowskiego, przedstawiciel CDR Kraków, przedstawiciel ARiMR, przedstawiciel PODR Boguchwała    - 1 
5.spotkanie informacyjne z potencjalnymi członkami grupy operacyjnej zainteresowanych  aplikacją dzialania ,,Współpraca'' związane z  tworzeniem  grupy operacyjnej dot. zastosowania preparatow doglebowych  w celu powyzszenia plonowania kukurydzy  - 2 
</t>
    </r>
  </si>
  <si>
    <r>
      <t xml:space="preserve">
</t>
    </r>
    <r>
      <rPr>
        <b/>
        <sz val="10"/>
        <color indexed="8"/>
        <rFont val="Calibri"/>
        <family val="2"/>
        <charset val="238"/>
      </rPr>
      <t>2016</t>
    </r>
    <r>
      <rPr>
        <sz val="10"/>
        <color indexed="8"/>
        <rFont val="Calibri"/>
        <family val="2"/>
        <charset val="238"/>
      </rPr>
      <t xml:space="preserve">
 1. Liczba spotkań aktywizujących potencjalnych partnerów     - 8 osób
 2. konsultacje z pracownikiem naukowym Uniwersytetu Rzeszowskigo  dot. wdrażania działania  ,,Współpracy'' . Przedmiotem rozmów było uruchomienie produkcji  nowej generacji ulepszaczy glebowych na bazie grupy operacyjnej  składajacej sie z producentow rolnych, przedsiebiorców i strony naukowej  i doradczej - 3
 3. konsultacje z przedstawicielem  Małopolskiego Centrum  Biotechniki sp. zo.o w Krasnem  dotyczące aplikacji w ramach działania ,, Współprca ''.  Tematem spotkania było wdrożenie  krzyżówki  bydła mięsnego na terenie Podkarpacia  o wysokich parametrach mięsnych i mlecznych . -  2
</t>
    </r>
    <r>
      <rPr>
        <b/>
        <sz val="10"/>
        <color indexed="8"/>
        <rFont val="Calibri"/>
        <family val="2"/>
        <charset val="238"/>
      </rPr>
      <t xml:space="preserve">01-06. 2017  </t>
    </r>
    <r>
      <rPr>
        <sz val="10"/>
        <color indexed="8"/>
        <rFont val="Calibri"/>
        <family val="2"/>
        <charset val="238"/>
      </rPr>
      <t xml:space="preserve">
-  spotkania informacyjne  w celu tworzenia grupy operacyjnej , której potencjalnymi członkami mają zostać :
1.  Małopolskie Centrum  Biotechniki sp. zo.o w Krasnem -  zainteresowane  aplikacąi w ramach działania ,, Współprca ''.  Tematem spotkania było wdrożenie  krzyżówki  bydła mięsnego na terenie Podkarpacia  o wysokich parametrach mięsnych i mlecznych ora aspekty ekonomiczne tego rozwiązania   -   11 osób 
2. Zaklad Doświadczalny Instytutu Zootechniki PIB z Odrzechowej - zainteresowane  aplikacąi w ramach działania ,, Współprca ''. - temat -  Wpływ nawożenia pofermentem z biogazowni  na wzrost kukurydzy  i uzytków zielonych  stosując go bezpośrednio  poprzez rozlewania za pomoca nawożenia kropelkowego  - 9 osób 
3.rolnik indywidualny - pszczelarz zainteresowany  aplikacą w ramach działania ,, Współprca ''.-Temat - Wprowadzenie nowego produktu na rynek w postaci miodu skrzypowego - 3 osoby 
4. Sotkanie z przedstawicielami potencjalnych członków grupy operacyjnej (w zakresie hodowli królików) przy współudziale Urzędu Wojewódzkiego  zainteresowanych aplikacą w ramach działania ,, Współprca ''.  Uczestnikami spotkania byli:  przedstawiciele Zakładu Doświadczalnego Instytutu Zootechniki PIB Chorzelów Sp. z o, przedstawiciel Urzędu Wojewódzkiego , przedstawiciel Urzędu Marszałkowskiego, przedstawiciel CDR Kraków, przedstawiciel ARiMR, przedstawiciel PODR Boguchwała  - 8 osób 
5.spotkanie informacyjne z potencjalnymi członkami grupy operacyjnej zainteresowanych  aplikacją dzialania ,,Współpraca'' związane z  tworzeniem  grupy operacyjnej dot. zastosowania preparatow doglebowych  w celu powyzszenia plonowania kukurydzy - 6 osób</t>
    </r>
  </si>
  <si>
    <r>
      <rPr>
        <b/>
        <sz val="10"/>
        <rFont val="Calibri"/>
        <family val="2"/>
        <charset val="238"/>
        <scheme val="minor"/>
      </rPr>
      <t xml:space="preserve">Rok 2016 </t>
    </r>
    <r>
      <rPr>
        <sz val="10"/>
        <rFont val="Calibri"/>
        <family val="2"/>
        <charset val="238"/>
        <scheme val="minor"/>
      </rPr>
      <t xml:space="preserve">
 - spotkanie informacyjno-aktywizujące dla potencjalnych uczestników SIR. Informowanie o źródłach finansowania innowacji w rolnictwie na obszarach wiejskich w perspektywie finansowej 2014-2020 -  7 -  7 dni
  - spotkanie dotyczące działania współpraca organizowane przez pracowników ds. SIR  - 5 -  5 dni 
- spotkania z przedstawicielami instytucji rolniczych i okołorolniczych  -12 -  12 dni
- uczestnictwo w konferencjach branzowych organizowanych przez PODR  na których została poruszana tematyka SIR  w 2015 roku - 2 - 2 dni
- wyjazd studyjny krajowy dla 100 osób -2  - 4 dni
- wyjazd studyjny dla 35 osób - 1  - 6 dni - spotkania informacyjne dot. tematyki ,, Odnawialne Źródła Energii jako alternatywne rozwiązania stosowane w rolnictwie, leśnictwie i przetwórstwie '' - 21 - 21 dni 
- spotkania organozowane przez CDR - dla 2 osób
</t>
    </r>
    <r>
      <rPr>
        <b/>
        <sz val="10"/>
        <rFont val="Calibri"/>
        <family val="2"/>
        <charset val="238"/>
        <scheme val="minor"/>
      </rPr>
      <t>Rok</t>
    </r>
    <r>
      <rPr>
        <sz val="10"/>
        <rFont val="Calibri"/>
        <family val="2"/>
        <charset val="238"/>
        <scheme val="minor"/>
      </rPr>
      <t xml:space="preserve"> </t>
    </r>
    <r>
      <rPr>
        <b/>
        <sz val="10"/>
        <rFont val="Calibri"/>
        <family val="2"/>
        <charset val="238"/>
        <scheme val="minor"/>
      </rPr>
      <t>2017  (01-06.)</t>
    </r>
    <r>
      <rPr>
        <sz val="10"/>
        <rFont val="Calibri"/>
        <family val="2"/>
        <charset val="238"/>
        <scheme val="minor"/>
      </rPr>
      <t xml:space="preserve">
- spotkanie informacyjne w sprawie utworzenia potencjalnej  Grupy opeacyjnej na potrzeby działania ,,Współpraca''- 6- 6 dni 
- robocze spotkanie z potencjalnymi czlonkami grupy operacyjnej dot aplikowania o środki finansowe z działania ,, Współpraca '' w ramach PROW 2014-2020 - 1 - 1 dzień 
- Szkolenie dot. naboru projektów partnerów KSOW w 2017 i zmian planu operacyjnego 2016-2017 - 1   -  2 uczestników
- uczestnictwo w spotkaniu  informacyjno-szkoleniowe dla pracowników wojewódzkich Ośrodków Doradztwa Rolniczego pełniących  rolę brokerów innowacji  -1 (  2 - 3 dni )   -4 uczestników 
- spotkanie informacyjno-szkoleniowe  pt. ,, Gospodarstwa opiekuńcze - budowanie sieci współpracy ''  - 3  - 65 uczestników 
</t>
    </r>
    <r>
      <rPr>
        <b/>
        <sz val="10"/>
        <rFont val="Calibri"/>
        <family val="2"/>
        <charset val="238"/>
        <scheme val="minor"/>
      </rPr>
      <t>Rok 2017  (07-12.)</t>
    </r>
    <r>
      <rPr>
        <sz val="10"/>
        <rFont val="Calibri"/>
        <family val="2"/>
        <charset val="238"/>
        <scheme val="minor"/>
      </rPr>
      <t xml:space="preserve">
 - spotkanie informacyjno-szkoleniowe dla pracowników Wojewódzkich Ośrodków Doradztwa Rolniczego realizujących zadania na rzecz SIR - 1 (2 dni) 
- II Forum Wiedzy i Innowacji - 1 (2 dni)
- spotkanie informacyjno-szkoleniowe dla pracowników Wojewódzkich Ośrodków Doradztwa Rolniczego realizujących zadania na rzecz SIR - 1 (2 dni)
- spotkanie dla kadry zaarządczej instytutów badawczych i jednostek doradztwa rolniczego  - 1 (2 dni)
- wyjazd studyjny zaganiczny - do Austrii  dla 35 osób - 1 ( 3 dni)
- wyjazd zagraniczny do Czech  dla 40 osób - 1  ( 3 dni)
</t>
    </r>
  </si>
  <si>
    <r>
      <rPr>
        <b/>
        <sz val="10"/>
        <rFont val="Calibri"/>
        <family val="2"/>
        <charset val="238"/>
        <scheme val="minor"/>
      </rPr>
      <t xml:space="preserve">
Rok 2016</t>
    </r>
    <r>
      <rPr>
        <sz val="10"/>
        <rFont val="Calibri"/>
        <family val="2"/>
        <charset val="238"/>
        <scheme val="minor"/>
      </rPr>
      <t xml:space="preserve">
 - spotkanie informacyjno-aktywizujące dla potencjalnych uczestników SIR. Informowanie o źródłach finansowania innowacji w rolnictwie na obszarach wiejskich w perspektywie finansowej 2014-2020. Uczestnikami spotkań informacyjnych są mieszkancy terenów wiejskich, rolnicy, leśnicy, przedsiebiorcy, przedstaiciele instytucji rolniczych i okołorolniczych 157 osób
- spotkania dotyczące działania ,,Współpraca''  -  197 osób
- . spotkania z przedstawicielami instytucji rolniczych i okołorolniczych  - 72
- uczestnictwo w konferencjach na których została poruszana tematyka SIR - 180
Rok </t>
    </r>
    <r>
      <rPr>
        <b/>
        <sz val="10"/>
        <rFont val="Calibri"/>
        <family val="2"/>
        <charset val="238"/>
        <scheme val="minor"/>
      </rPr>
      <t>2017  (01-06)</t>
    </r>
    <r>
      <rPr>
        <sz val="10"/>
        <rFont val="Calibri"/>
        <family val="2"/>
        <charset val="238"/>
        <scheme val="minor"/>
      </rPr>
      <t xml:space="preserve">
- spotkanie informacyjne w sprawie utworzenia potencjalnej  Grupy opeacyjnej na potrzeby działania ,,Współpraca''-76
- robocze spotkanie z potencjalnymi czlonkami grupy operacyjnej dot aplikowania o środki finansowe z działania ,, Współpraca '' w ramach PROW 2014-2020 - 6 uczestników 
- Szkolenie dot. naboru projektów partnerów KSOW w 2017 i zmian planu operacyjnego 2016-2017 -  2 uczestników
- uczestnictwo w spotkaniu  informacyjno-szkoleniowe dla pracowników wojewódzkich Ośrodków Doradztwa Rolniczego pełniących  rolę brokerów innowacji  -   -6 uczestników 
- spotkanie informacyjno-szkoleniowe  pt. ,, Gospodarstwa opiekuńcze - budowanie sieci współpracy ''    - 65 uczestników 
2017  (07-12.)
 - spotkanie informacyjno-szkoleniowe dla pracowników Wojewódzkich Ośrodków Doradztwa Rolniczego realizujących zadania na rzecz SIR - 1 (2 dni) 2 uczestników 
- II Forum Wiedzy i Innowacji - 1 (2 dni) - 4 uczestników
- spotkanie informacyjno-szkoleniowe dla pracowników Wojewódzkich Ośrodków Doradztwa Rolniczego realizujących zadania na rzecz SIR - 1 (2 dni) - 3 uczestników
- spotkanie dla kadry zaarządczej instytutów badawczych i jednostek doradztwa rolniczego  - 1 (2 dni) - 2 uczestników
- wyjazd studyjny zaganiczny - do Austrii  dla 35 osób - 1 ( 3 dni)
- wyjazd zagraniczny do Czech  dla 40 osób - 1  ( 3 dni)
</t>
    </r>
  </si>
  <si>
    <t>Rok 2016: koszty funkcjonowania obejmują:
- wynagrodzenia + pochodne,
- delegacje,
- noclegi,
- materiały biurowe
Rok  2017: koszty funkcjonowania obejmują:
- wynagrodzenia + pochodne,
- delegacje,
- noclegi,</t>
  </si>
  <si>
    <t>[Jednostka] Podlaski Ośrodek Doradztwa Rolniczego w Szepietowie</t>
  </si>
  <si>
    <r>
      <rPr>
        <b/>
        <sz val="10"/>
        <color indexed="8"/>
        <rFont val="Calibri"/>
        <family val="2"/>
        <charset val="238"/>
      </rPr>
      <t>Zorganizowano: w terminie 05-08.2016:</t>
    </r>
    <r>
      <rPr>
        <sz val="10"/>
        <color indexed="8"/>
        <rFont val="Calibri"/>
        <family val="2"/>
        <charset val="238"/>
      </rPr>
      <t xml:space="preserve">
"Pokaz innowacyjnych metod zwalczania omacnicy prosowianki w kukurydzy i zapoznanie się z zaleceniami ochrony roślin w wersji internetowej - 60 osób,
</t>
    </r>
    <r>
      <rPr>
        <b/>
        <sz val="10"/>
        <color indexed="8"/>
        <rFont val="Calibri"/>
        <family val="2"/>
        <charset val="238"/>
      </rPr>
      <t>w terminie 09-12.2016</t>
    </r>
    <r>
      <rPr>
        <sz val="10"/>
        <color indexed="8"/>
        <rFont val="Calibri"/>
        <family val="2"/>
        <charset val="238"/>
      </rPr>
      <t xml:space="preserve">
"Seminarium wyjazdowe - Innowacyjne formy współdziałania producentów rolnych" - 43 uczestników,
Konferencja " Innowacyjne rozwiązania w przygotowaniu, przetwarzaniu i przechowywaniu zdrowej żywności -25 osób,
Konferencja "Nowe techniologie w uprawie roli i zastosowanie rolnictwa precyzyjnego w kontekście zmian klimatycznych" - 90 osób,
"Seminarium wyjazdowe dla pszczelarzy woj. podlaskiego" - 30 osób
</t>
    </r>
  </si>
  <si>
    <t xml:space="preserve">1 pokaz </t>
  </si>
  <si>
    <t>60 osób</t>
  </si>
  <si>
    <t>90+43</t>
  </si>
  <si>
    <t>PODR w szepietowie prowadzi zakładkę SIR gdzie od 01.01.2016-31.12.2016 zakładkę odwiedziło 4251 osób.</t>
  </si>
  <si>
    <t xml:space="preserve">Facebook
PODR w Szepietowie  zamieśćił od 05-08.2016 roku zamieścił 6 postów  gdzie liczba odbiorców wyniosła 11181 osób, polubiło to 36 osób, udostępniło 2 osoby.
W okresie 09-12.2016 ukazało się 8 postów, liczba odbiorców 17857 osób, polubiło to 87 osób, udostępniło to 8 osób
</t>
  </si>
  <si>
    <t>Wydano następujące publikacje, ulotki, broszury w terminie 09-12.2016.
"Przedsiębiorczość na obszarach wiejskich woj. podlaskiego - przykłady innowacyjnych przedsięwzięć"
Materały szkoleniowe z wyjazdu studyjnego "Organizacja seminarium wyjazdowego dla pszczelarzy województwa podlaskiego"
"Konsolidacja osób i podmiotów zainteresowanych wdrazaniem innowacyjnych technologii w dzielninie przechowalnictwa rolno-spożywczeg
"Innowacyjne rozwiązania w przygotowywaniu, przetwarzaniu i przechowywaniu żywności"
"Innowacyjne podejście w urynkowieniu żywności wysokiej jakości"</t>
  </si>
  <si>
    <r>
      <t>Zorganizowano następujące formy szkoleniowe:</t>
    </r>
    <r>
      <rPr>
        <u/>
        <sz val="12"/>
        <color theme="1"/>
        <rFont val="Calibri"/>
        <family val="2"/>
        <charset val="238"/>
        <scheme val="minor"/>
      </rPr>
      <t xml:space="preserve"> </t>
    </r>
    <r>
      <rPr>
        <b/>
        <u/>
        <sz val="12"/>
        <color theme="1"/>
        <rFont val="Calibri"/>
        <family val="2"/>
        <charset val="238"/>
        <scheme val="minor"/>
      </rPr>
      <t>w terminie 05-08.2016</t>
    </r>
    <r>
      <rPr>
        <sz val="10"/>
        <color theme="1"/>
        <rFont val="Calibri"/>
        <family val="2"/>
        <scheme val="minor"/>
      </rPr>
      <t xml:space="preserve">
Warsztaty:
</t>
    </r>
    <r>
      <rPr>
        <b/>
        <i/>
        <sz val="10"/>
        <color theme="1"/>
        <rFont val="Calibri"/>
        <family val="2"/>
        <charset val="238"/>
        <scheme val="minor"/>
      </rPr>
      <t xml:space="preserve"> Warsztaty/Szkolenia</t>
    </r>
    <r>
      <rPr>
        <sz val="10"/>
        <color theme="1"/>
        <rFont val="Calibri"/>
        <family val="2"/>
        <scheme val="minor"/>
      </rPr>
      <t xml:space="preserve"> -Praktyczne wykorzystanie wyników badań naukowych we wdrażaniu innowacji w ekologicznej produkcji - 34 osoby- 2 grupy
</t>
    </r>
    <r>
      <rPr>
        <b/>
        <i/>
        <sz val="10"/>
        <color theme="1"/>
        <rFont val="Calibri"/>
        <family val="2"/>
        <charset val="238"/>
        <scheme val="minor"/>
      </rPr>
      <t xml:space="preserve"> Warsztaty/Szkolenia</t>
    </r>
    <r>
      <rPr>
        <sz val="10"/>
        <color theme="1"/>
        <rFont val="Calibri"/>
        <family val="2"/>
        <scheme val="minor"/>
      </rPr>
      <t xml:space="preserve">- Jak pisać o innowacjach w rolnictwie? Warsztaty dziennikarskie doskonalące umiejętności zdobywania i przekazywania wiedzy nt.  wdrażania innowacji rolniczych w woj. podlaskim - 20 osób- 1 grupa
</t>
    </r>
    <r>
      <rPr>
        <b/>
        <i/>
        <sz val="10"/>
        <color theme="1"/>
        <rFont val="Calibri"/>
        <family val="2"/>
        <charset val="238"/>
        <scheme val="minor"/>
      </rPr>
      <t>Wizyty/ Wyjazd studyjny</t>
    </r>
    <r>
      <rPr>
        <sz val="10"/>
        <color theme="1"/>
        <rFont val="Calibri"/>
        <family val="2"/>
        <scheme val="minor"/>
      </rPr>
      <t xml:space="preserve"> -Wyjazd studyjny - standaryzacja jakości produkcji wołowiny i innowacyjne  formy sprzedaży mięsa wołowego...." - 10 osób - 1 grupa
</t>
    </r>
    <r>
      <rPr>
        <b/>
        <u/>
        <sz val="12"/>
        <color theme="1"/>
        <rFont val="Calibri"/>
        <family val="2"/>
        <charset val="238"/>
        <scheme val="minor"/>
      </rPr>
      <t>W terminie 09-12.2016</t>
    </r>
    <r>
      <rPr>
        <sz val="10"/>
        <color theme="1"/>
        <rFont val="Calibri"/>
        <family val="2"/>
        <scheme val="minor"/>
      </rPr>
      <t xml:space="preserve"> 
</t>
    </r>
    <r>
      <rPr>
        <b/>
        <i/>
        <sz val="10"/>
        <color theme="1"/>
        <rFont val="Calibri"/>
        <family val="2"/>
        <charset val="238"/>
        <scheme val="minor"/>
      </rPr>
      <t xml:space="preserve"> Wizyty/ Wyjazd studyjny</t>
    </r>
    <r>
      <rPr>
        <sz val="10"/>
        <color theme="1"/>
        <rFont val="Calibri"/>
        <family val="2"/>
        <scheme val="minor"/>
      </rPr>
      <t xml:space="preserve"> Wyjazd studyjny - Uprawa lnu i konopi jako alternatywa produkcji na obszarach objętych ASF- wyjazd studyjny dla doradców, rolników i przedsiębiorców"- 25 osób - 1 grupa
 </t>
    </r>
    <r>
      <rPr>
        <b/>
        <i/>
        <sz val="10"/>
        <color theme="1"/>
        <rFont val="Calibri"/>
        <family val="2"/>
        <charset val="238"/>
        <scheme val="minor"/>
      </rPr>
      <t>Wizyty/ Wyjazd studyj</t>
    </r>
    <r>
      <rPr>
        <b/>
        <sz val="10"/>
        <color theme="1"/>
        <rFont val="Calibri"/>
        <family val="2"/>
        <charset val="238"/>
        <scheme val="minor"/>
      </rPr>
      <t xml:space="preserve">ny </t>
    </r>
    <r>
      <rPr>
        <sz val="10"/>
        <color theme="1"/>
        <rFont val="Calibri"/>
        <family val="2"/>
        <scheme val="minor"/>
      </rPr>
      <t xml:space="preserve">Wyjazd studyjny nt"Alternatywne źródła dochodu z gospodarstwa rolnego- innowacyjne hodowla ślimaka jadalnego"- 25 osób - 1 grupa
Szkolenie z wyjazdem do gospodarstwa/przedsiębiorstwa
</t>
    </r>
    <r>
      <rPr>
        <b/>
        <i/>
        <sz val="10"/>
        <color theme="1"/>
        <rFont val="Calibri"/>
        <family val="2"/>
        <charset val="238"/>
        <scheme val="minor"/>
      </rPr>
      <t xml:space="preserve"> Warsztaty/Szkolenia:</t>
    </r>
    <r>
      <rPr>
        <sz val="10"/>
        <color theme="1"/>
        <rFont val="Calibri"/>
        <family val="2"/>
        <scheme val="minor"/>
      </rPr>
      <t xml:space="preserve"> Konsolidacja osób i podmiotów zainteresowanych wdrażaniem innowacyjnych technologii w dziedzinie przechowalnictwa rolno-spożywczego. - 15 sob - 1 grupa
 </t>
    </r>
    <r>
      <rPr>
        <b/>
        <i/>
        <sz val="10"/>
        <color theme="1"/>
        <rFont val="Calibri"/>
        <family val="2"/>
        <charset val="238"/>
        <scheme val="minor"/>
      </rPr>
      <t xml:space="preserve"> Warsztaty/Szkolenia: </t>
    </r>
    <r>
      <rPr>
        <sz val="10"/>
        <color theme="1"/>
        <rFont val="Calibri"/>
        <family val="2"/>
        <scheme val="minor"/>
      </rPr>
      <t xml:space="preserve">Innowacyjne rozwiązania w energetyce odnawialnej w woj. podlaskich - 60 osób - 3 grupy
</t>
    </r>
    <r>
      <rPr>
        <b/>
        <i/>
        <sz val="10"/>
        <color theme="1"/>
        <rFont val="Calibri"/>
        <family val="2"/>
        <charset val="238"/>
        <scheme val="minor"/>
      </rPr>
      <t>Warsztaty/Szkolenia</t>
    </r>
    <r>
      <rPr>
        <sz val="10"/>
        <color theme="1"/>
        <rFont val="Calibri"/>
        <family val="2"/>
        <scheme val="minor"/>
      </rPr>
      <t xml:space="preserve">: szkolenie: Innowcyjne podejscie w urynkowieniu żywności wysokiej jakości- 30 osób-1 grupa
</t>
    </r>
    <r>
      <rPr>
        <b/>
        <i/>
        <sz val="10"/>
        <color theme="1"/>
        <rFont val="Calibri"/>
        <family val="2"/>
        <charset val="238"/>
        <scheme val="minor"/>
      </rPr>
      <t xml:space="preserve">Warsztaty/Szkolenia: </t>
    </r>
    <r>
      <rPr>
        <sz val="10"/>
        <color theme="1"/>
        <rFont val="Calibri"/>
        <family val="2"/>
        <charset val="238"/>
        <scheme val="minor"/>
      </rPr>
      <t xml:space="preserve"> w</t>
    </r>
    <r>
      <rPr>
        <sz val="10"/>
        <color theme="1"/>
        <rFont val="Calibri"/>
        <family val="2"/>
        <scheme val="minor"/>
      </rPr>
      <t xml:space="preserve">arsztaty: Przeprowadzenie cyklu warsztatów tematycznych dot. promowania innowacyjnych metod zapobiegania znoszeniu środków ochrony roślin - 120 osób - 6 grup
</t>
    </r>
  </si>
  <si>
    <t>rolnicy z woj. podlaskiego/mieszkańcy obszarów wiejskich, przedsiębiorcy, producenci żywności</t>
  </si>
  <si>
    <t>Koszty funkcjonowania zawierają: 2 etaty: spec. ds. innowacji i broker</t>
  </si>
  <si>
    <t>Uwaga: Podane dane są narastająco od poczatku roku.</t>
  </si>
  <si>
    <t>Sporzadziła: Aneta Drobek</t>
  </si>
  <si>
    <t>Szepietowo 26.01.2017</t>
  </si>
  <si>
    <t xml:space="preserve"> Pomorski Ośrodek Doradztwa Rolniczego w Lubaniu</t>
  </si>
  <si>
    <r>
      <rPr>
        <b/>
        <sz val="12"/>
        <color indexed="8"/>
        <rFont val="Calibri"/>
        <family val="2"/>
        <charset val="238"/>
      </rPr>
      <t>2015: Dwie konferencje  „Sieć Innowacji w Rolnictwie – Klucz do Nowoczesności” - organizator : PODR w Lubaniu;        
2016:</t>
    </r>
    <r>
      <rPr>
        <sz val="10"/>
        <color indexed="8"/>
        <rFont val="Calibri"/>
        <family val="2"/>
        <charset val="238"/>
      </rPr>
      <t xml:space="preserve">   1. Stoisko promocyjne na III Pomorskiej Wystawie Bydła Mlecznego - Swięto Mleka w Bolesławowie - organizator: Pomorski Związek Hodowców Bydła Mlecznego w Gdańsku wraz z Gdańskim Oddziałem Polskiej Federacji Hodowców Bydła i Producentów Mleka. ; 2. Stoisko promocyjne na Pomorskich Agro Targach w Lubaniu - organizator: PODR w Lubaniu; 3. Stoisko promocyjnena na Żuławskich Targach Rolnych w Starym Polu - organizator: PODR w Lubaniu; 4. Stoisko promocyjne SIR podczas Jesiennych Targów Ogrodniczo-Nasiennych w Starym Polu - organizator:  PODR w Lubaniu; 5. Stoisko promocyjne SIR podczas Kaszubskiej Jesieni Rolniczej oraz Dożynek Diecezji Pelplińskiej w Lubaniu - organizator: PODR w Lubaniu                                                                                                           
</t>
    </r>
    <r>
      <rPr>
        <b/>
        <sz val="12"/>
        <color indexed="8"/>
        <rFont val="Calibri"/>
        <family val="2"/>
        <charset val="238"/>
      </rPr>
      <t>2017:</t>
    </r>
    <r>
      <rPr>
        <sz val="10"/>
        <color indexed="8"/>
        <rFont val="Calibri"/>
        <family val="2"/>
        <charset val="238"/>
      </rPr>
      <t xml:space="preserve">  1. Promocja SIR na targach ogrodniczych w Słupsku.  2.  Promocja SIR na targach ogrodniczych w Lubaniu. 3.  Promocja SIR na turnieju KGW w Luzinie.   4. Promocja SIR na targach rolno-kwiatowych w Słupsku. 5. Promocja SIR na targach rw Lubaniu. 6. Promocja SIR na targach w Starym Polu. (wszystkie wydarzenia finansowane z funkcionowania). 7. Dni Pola w Tuchlinie. 8. Dzień Ziemniaka w Lubaniu. 9. Targi Rolnicze w Starym Polu. 10. Dzień Kukurydzy w Lubaniu. 11. Targi Rolnicze w Lubaniu. 12. Targi Rolnicze w Słupsku.</t>
    </r>
  </si>
  <si>
    <r>
      <rPr>
        <b/>
        <sz val="14"/>
        <color indexed="8"/>
        <rFont val="Calibri"/>
        <family val="2"/>
        <charset val="238"/>
      </rPr>
      <t xml:space="preserve">2016 : </t>
    </r>
    <r>
      <rPr>
        <sz val="10"/>
        <color indexed="8"/>
        <rFont val="Calibri"/>
        <family val="2"/>
        <charset val="238"/>
      </rPr>
      <t xml:space="preserve">   Jak wynika ze statystyk prowadzonych przez PODR w Lubaniu targi i wystawę odwiedziło łącznie około 117 000 osób. Informacje o  SIR uzyskało około 1 000 osób na co wskazują rozdane materiały informacyjne. ;                                                                                                                                                                                              </t>
    </r>
    <r>
      <rPr>
        <b/>
        <sz val="14"/>
        <color indexed="8"/>
        <rFont val="Calibri"/>
        <family val="2"/>
        <charset val="238"/>
      </rPr>
      <t>2017</t>
    </r>
    <r>
      <rPr>
        <sz val="10"/>
        <color indexed="8"/>
        <rFont val="Calibri"/>
        <family val="2"/>
        <charset val="238"/>
      </rPr>
      <t xml:space="preserve">: Informacje o  SIR uzyskało około 9502 osób na co wskazują rozdane materiały informacyjne. ;                                                                                                                           </t>
    </r>
  </si>
  <si>
    <t xml:space="preserve">Zakładka SIR powstała w 2016 roku. Dane podawane są na podstawie wyliczeń z Google Analytics. W 2017 powstała strona : www.agroinnowacje.eu , która jest główną stroną SIR w województwie pomorskim. </t>
  </si>
  <si>
    <t xml:space="preserve">2016: 1. Publikacje internetowe na stronie: http://podr.pl/sir/ (16)  ; 2. ulotka informacyjna SIR finansowana z Planu operacyjnego (nakład: 9 802);                               3. artykuły w czasopiśmie Pomorskie Wieści Rolnicze ( 7 );                                                                                                                                                                                       2017 : Publikacje internetowe na stronie: http://podr.pl/sir/ oraz www.agroinnowacje.eu (33)  ;  2. artykuły w czasopiśmie Pomorskie Wieści Rolnicze ( 6) </t>
  </si>
  <si>
    <t>2017: film promocyjny ,,Innowacyjna Wieś Pomorska"</t>
  </si>
  <si>
    <t xml:space="preserve"> 2016 : 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 Liczba zorganizowanych szkoleń i warsztatów:
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4 szkolenia z warsztatami  + 4 warsztaty = 8
• Liczba dni szkoleniowych:
1. Przez Innowacyjność do Sukcesu - organizator: Farmer Sp zo.o. ; (1 dzień)
2. Innowacyjne wsparcie gospodarstw rolnych - organizator: Stowarzyszenie Absolwentów Wyższych Szkół Zarządzania 
„ Nasza Europa” i firma „EKOTEC”; (1 dzień)
3. Działanie współpraca jako narzędzie wdrażania innowacji - organizator: Urząd Marszałkowski;  (1 dziań)
4. Konferencja pt. ,,Innowacyjna Wieś Pomorska - Pomorskie spotkanie z nauką rolniczą" (dwudniowa konferencja z wyjazdem studyjnym) - organizator: PODR (finansowane z planu operacyjnego);  (2 dni)
5. Warsztaty: ,,Integracja działań na rzecz pomorza" (4 warsztaty po 20 osób) - organizator PODR (nie ze środków SIR). (4 x 1 dzień)
3 x 1 dzień + 2 dni + 4 x 1 dzień = 9 dni)                                                                                                                                                                                                                                                                            2017:                                                                                                                                                                                                                                                                                                   liczba zorganizowanych szkoleń i warsztatów z liczą dni szkoleniowych:                                                                                                                                                                                                                    1. Problemy we współczesnym rolnictwie oraz możliwości wprowadzenia innowacyjnych metod wspomagania rolnika.         (1 dzień)                                                                    2. Sieć na rzecz innowacji w rolnictwie i na obszarach wiejskich – możliwości jakie daje współpraca w sektorze  pszczelarstwa.           (1 dzień)                                                     3. Funkcjonowanie stowarzyszenia BIO Pomorze oraz możliwości współpracy w ramach PROW 2014-2020.                         (1 dzień)                                                                         4. Możliwości dofinansowania i zasady naboru na projekty do planu operacyjnego KSOW na lata 2018-2019 w zakresie SIR.              (1 dzień)                                                      5. Zasady naboru na projekty do planu operacyjnego ksow na lata 2018-2019 w zakresie SIR.                                                       (1 dzień)                                                                      6.  Warsztaty dot. działania Współpraca.                   (1 dzień)                                                                                                                                                                                                         7. Tworzenie systemu wspomagania decyzji w ochronie roślin na obszarze województwa pomorskiego, z wykorzystaniem innowacyjnych rozwiązań technicznych i organizacyjnych w ramach Planu operacyjnego KSOW na lata 2016-2017 w zakresie SIR.    (2 dni) ( finansowane z Planu Operacyjnego KSOW w zakresie SIR)
8.Tworzenie sieci kontaktów oraz możliwości dofinansowania do innowacyjnych działań w sektorze pszczelarstwa. (1 dzień)                                                                    9. Innowacyjna wieś pomorska      (1 dzień)                                                                                                                                                                                              10.Plan Operacyjny szansą rozwoju innowacyjności w województwie pomorskim (1 dzień)                                                                                                         11.Innowacyjna wieś Pomorska (1 dzień )                                                                                                                                                                                     12. Innowacyjna wieś Pomorska (1 dzień)                                                                                                                                                                                      
13. Innowacyjna wieś pomorska (1 dzień)                                                                                                                                                                                                  14. Plan operacyjny szansą rozwoju innowacyjności w woj. pomorskim (1 dzień)                                                                                                                           15.Forum Trzodziarskie (1 dzień)                                                                                                                                                                                                   16. SIR czyli innowacyjne podejście dla Młodych Rolników szkolenie na Olimpiadzie Młodych Producentów Rolnych (1 dzień)                                                 17. Warsztaty Lubań (1 dzień)                                                                                                                                                                                                        liczba wyjazdów studyjnych:             1. BIOFACH  (3 dni)  2. AGROTECH   (2 dni)                                                                                                                                                         Spotkania dotyczące działania współpraca (56 dni)</t>
  </si>
  <si>
    <r>
      <t xml:space="preserve">2016                                                                                                                                                                                                                                                                                         1. Udział w konferencji z wyjazdem studyjnym organizowanej PODR (w więkrzości uczestniczyli rolnicy z terenu województwa pomorskiego);                   2. W czterech warsztatach uczestniczyło 80 osób                                                                                                                                                                                                                </t>
    </r>
    <r>
      <rPr>
        <b/>
        <sz val="10"/>
        <rFont val="Calibri"/>
        <family val="2"/>
        <charset val="238"/>
      </rPr>
      <t xml:space="preserve">(Liczba osób:
I : 80 + 155 = 235 osób
II : 4 +60 +32+ 139 = 235 osób)   </t>
    </r>
    <r>
      <rPr>
        <b/>
        <sz val="10"/>
        <color rgb="FFFF0000"/>
        <rFont val="Calibri"/>
        <family val="2"/>
        <charset val="238"/>
      </rPr>
      <t xml:space="preserve">                                                                                                                                                                                                                                               </t>
    </r>
    <r>
      <rPr>
        <b/>
        <sz val="14"/>
        <rFont val="Calibri"/>
        <family val="2"/>
        <charset val="238"/>
      </rPr>
      <t>2017:</t>
    </r>
    <r>
      <rPr>
        <b/>
        <sz val="11"/>
        <rFont val="Calibri"/>
        <family val="2"/>
        <charset val="238"/>
      </rPr>
      <t xml:space="preserve">                                                                                                                                                                                                                                                                                                                 </t>
    </r>
    <r>
      <rPr>
        <sz val="11"/>
        <rFont val="Calibri"/>
        <family val="2"/>
        <charset val="238"/>
      </rPr>
      <t xml:space="preserve">liczba uczestników:                                                                                                                                                                                                                                                               </t>
    </r>
    <r>
      <rPr>
        <b/>
        <sz val="14"/>
        <rFont val="Calibri"/>
        <family val="2"/>
        <charset val="238"/>
      </rPr>
      <t xml:space="preserve">finansowane  ze środków na funkcjonowanie:               </t>
    </r>
    <r>
      <rPr>
        <sz val="11"/>
        <rFont val="Calibri"/>
        <family val="2"/>
        <charset val="238"/>
      </rPr>
      <t xml:space="preserve">                                                                                                                                                                                      1. Problemy we współczesnym rolnictwie oraz możliwości wprowadzenia innowacyjnych metod wspomagania rolnika.         ( 6)                                                                    2. Sieć na rzecz innowacji w rolnictwie i na obszarach wiejskich – możliwości jakie daje współpraca w sektorze  pszczelarstwa.           (25)                                                     3. Funkcjonowanie stowarzyszenia BIO Pomorze oraz możliwości współpracy w ramach PROW 2014-2020.                         (20)                                                                         4. Możliwości dofinansowania i zasady naboru na projekty do planu operacyjnego KSOW na lata 2018-2019 w zakresie SIR.              (15)                                                      5. Zasady naboru na projekty do planu operacyjnego ksow na lata 2018-2019 w zakresie SIR.                                                       (25)                                                                      6.  Warsztaty dot. działania Współpraca.                   (13)                                                                                                                                                                                                         7. Spotkania dotyczące działania współpraca (212)                                                                                                                                                                       8. Tworzenie sieci kontaktów oraz możliwości dofinansowania do innowacyjnych działań w sektorze pszczelarstwa. ( 17)                                                                    9. Innowacyjna wieś pomorska      (3)                                                                                                                                                                                              10.Plan Operacyjny szansą rozwoju innowacyjności w województwie pomorskim (3)                                                                                                         11.Innowacyjna wieś Pomorska (6 )                                                                                                                                                                                      12. Innowacyjna wieś Pomorska (3)                                                                                                                                                                                      
13. Innowacyjna wieś pomorska (5)                                                                                                                                                                                                  14. Plan operacyjny szansą rozwoju innowacyjności w woj. pomorskim (5)                                                                                                                           15.Forum Trzodziarskie (150)                                                                                                                                                                                                   16. SIR czyli innowacyjne podejście dla Młodych Rolników szkolenie na Olimpiadzie Młodych Producentów Rolnych (50)                                                 17. Warsztaty Lubań (11)                                                                                                                                                                                       </t>
    </r>
    <r>
      <rPr>
        <b/>
        <sz val="14"/>
        <rFont val="Calibri"/>
        <family val="2"/>
        <charset val="238"/>
      </rPr>
      <t xml:space="preserve">finansowane z planu operacyjnego KSOW w zakresie SIR </t>
    </r>
    <r>
      <rPr>
        <sz val="11"/>
        <rFont val="Calibri"/>
        <family val="2"/>
        <charset val="238"/>
      </rPr>
      <t xml:space="preserve">                                                                                                                                                             8. Tworzenie systemu wspomagania decyzji w ochronie roślin na obszarze województwa pomorskiego, z wykorzystaniem innowacyjnych rozwiązań technicznych i organizacyjnych w ramach Planu operacyjnego KSOW na lata 2016-2017 w zakresie SIR.    (86)
 9. wyjazdy studyjne:             1. BIOFACH  (25)  2. AGROTECH   (50)   </t>
    </r>
  </si>
  <si>
    <r>
      <rPr>
        <b/>
        <sz val="11"/>
        <rFont val="Calibri"/>
        <family val="2"/>
        <charset val="238"/>
        <scheme val="minor"/>
      </rPr>
      <t>2016</t>
    </r>
    <r>
      <rPr>
        <sz val="11"/>
        <rFont val="Calibri"/>
        <family val="2"/>
        <scheme val="minor"/>
      </rPr>
      <t>: koszty funkcjonowania związane są z wynagrodzeniami oraz delegacjami na szkolenia i spotkania z zakresu SIR organizowane przez CDR oraz delegacjami na spotkania odnośnie działania ,,Współpraca" (Różnice wynikają z faktu, iż w załączniku nr. 1 mamy koszty związane tylko z Planem operacyjnym a w załączniku nr. 2 są koszty Planu operacyjnego jak i funkcjonowania. Nie będzie, więc nigdy równych kwot pomiędzy obydwoma załącznikami. 
W załączniku nr. 2 kwoty się łączą i nie ma jasnego rozgraniczenia pomiędzy Plan operacyjny i funkcjonowanie, ponieważ organizowane szkolenia oraz udział w szkoleniach (gdzie kosztem są delegacje) nie są kosztami jedynie Planu operacyjnego a również funkcjonowania.)</t>
    </r>
  </si>
  <si>
    <r>
      <rPr>
        <b/>
        <sz val="14"/>
        <color theme="1"/>
        <rFont val="Calibri"/>
        <family val="2"/>
        <charset val="238"/>
        <scheme val="minor"/>
      </rPr>
      <t xml:space="preserve">2016: </t>
    </r>
    <r>
      <rPr>
        <sz val="14"/>
        <color theme="1"/>
        <rFont val="Calibri"/>
        <family val="2"/>
        <charset val="238"/>
        <scheme val="minor"/>
      </rPr>
      <t xml:space="preserve">tabela </t>
    </r>
    <r>
      <rPr>
        <sz val="12"/>
        <color theme="1"/>
        <rFont val="Calibri"/>
        <family val="2"/>
        <charset val="238"/>
        <scheme val="minor"/>
      </rPr>
      <t>1 = koszty funkcjonowania (1474,38zł), tabela 2 = koszty Planu operacyjnego (843,95 zł) oraz tabela 6 = koszty funkcjonowania (63,52 zł) oraz Planu operacyjnego (51 305,16 zł)</t>
    </r>
    <r>
      <rPr>
        <b/>
        <sz val="14"/>
        <color theme="1"/>
        <rFont val="Calibri"/>
        <family val="2"/>
        <charset val="238"/>
        <scheme val="minor"/>
      </rPr>
      <t xml:space="preserve">     - czyli łączny koszt Planu operacyjnego = 52 149,11 zł                                                                                                                                                                         2017 :</t>
    </r>
    <r>
      <rPr>
        <sz val="11"/>
        <color theme="1"/>
        <rFont val="Calibri"/>
        <family val="2"/>
        <charset val="238"/>
        <scheme val="minor"/>
      </rPr>
      <t xml:space="preserve"> w tabeli 1 i 6 znajdują się działania, które zostały finansowane z funkcjonowania.  Z Planu operacyjnego zostały swinansowane jedynie: konferencja pt. ,,Tworzenie systemu wspomagania decyzji w ochronie roślin na obszarze województwa pomorskiego, z wykorzystaniem innowacyjnych rozwiązań technicznych i organizacyjnych w ramach Planu operacyjnego KSOW na lata 2016-2017 w zakresie SIR."      oraz  wyjazdy studyjne:             1. BIOFACH  i   2. AGROTECH</t>
    </r>
  </si>
  <si>
    <t>Śląski Ośrodek Doradztwa Rolniczego w Częstochowie</t>
  </si>
  <si>
    <r>
      <rPr>
        <b/>
        <sz val="10"/>
        <color indexed="8"/>
        <rFont val="Calibri"/>
        <family val="2"/>
        <charset val="238"/>
      </rPr>
      <t>2015-   inne (1) zakres tematyczny mieszany: XXIV Krajowa Wystawa Rolnicza, na której zostało zorganizowane stoisko Sieci na rzecz innowacji w rolnictwie i na obszarach wiejskich.W Wystawie Rolniczej udział wzięło ok. 400 wystawców tj. producenci maszyn i urządzeń rolniczych, środków ochrony roślin, pasz i nawozów oraz przedstawiciele instytutów branżowych resortu rolnictwa. Osoby zwiedzające i zainteresowane XXIV Krajową Wystawą Rolniczą, to w większości rolnicy, przedsiębiorcy rolni, działacze społeczni, grupy działaczy związanych z terenami wiejskimi województwa śląskiego i nie tylko. Corocznie wystawę odwiedza podczas dwudniowej wystawy-targów około 80 tysięcy osób.  2015rok - Operacja pn. Wystawa „ Instytuty resortu rolnictwa-NAUKA POLSKA”- przykłady  i promocja  Sieci na rzecz innowacji w rolnictwie i na obszarach wiejskich województwa śląskiego- zasięg krajowy- operacja została zrealizowana podczas XXIV Krajowej Wystawy Rolniczej w Częstochowie      2016</t>
    </r>
    <r>
      <rPr>
        <sz val="10"/>
        <color indexed="8"/>
        <rFont val="Calibri"/>
        <family val="2"/>
        <charset val="238"/>
      </rPr>
      <t>- Liczba zrealizowanych operacji w ramach Panu Operacyjnego KSOW 2016-207 w roku 2016( 15 operacji własnych + 1 operacja partnerska</t>
    </r>
    <r>
      <rPr>
        <b/>
        <sz val="10"/>
        <color indexed="8"/>
        <rFont val="Calibri"/>
        <family val="2"/>
        <charset val="238"/>
      </rPr>
      <t>)            2016r. - "Śląska platforma innowacji – stoisko informacyjne SIR na XXV KWR" operacja  została zorganizowana podczas XXV Krajowej Wystawy  Rolniczej w Częstochowie- zasięg krajowy.                                                                                                                                                                                                                                     2017 -  8 operacji z Planu Operacyjnego na lata 2016-2017, 4 stoiska promocyjno - informacyjne</t>
    </r>
  </si>
  <si>
    <r>
      <t xml:space="preserve">2015r. - Operacja pn. Wystawa „ Instytuty resortu rolnictwa-NAUKA POLSKA”- przykłady  i promocja  Sieci na rzecz innowacji w rolnictwie i na obszarach wiejskich województwa śląskiego"- zasięg krajowy- operacja została zrealizowana podczas XXIV Krajowej Wystawy Rolniczej w Częstochowie    Liczba uczestnków w ramach realizacji operacji z Planu Operacyjnego KSOW 2016-2017 w 2016 roku. Liczba 80,000 tysięcy dotyczy osób odwiedzających XXV Krajową Wystawę Rolniczą podczas ktróej była realizowana 1 operacja.                                                                                                                                            </t>
    </r>
    <r>
      <rPr>
        <b/>
        <sz val="10"/>
        <color indexed="8"/>
        <rFont val="Calibri"/>
        <family val="2"/>
        <charset val="238"/>
      </rPr>
      <t xml:space="preserve">                                                                                                                                                                                                                                                                         2016r. - "Śląska platforma innowacji – stoisko informacyjne SIR na XXV KWR" operacja  została zrealizowana podczas XXV Krajowej Wystawy  Rolniczej w Częstochowie - zasięg krajowy .                                                                                                                                                                                                                                                                              2017  DOD w Mikołowie i Lublińcu (liczbę uczestników oszacowano na podstawie relacji doradców z ŚODR i obłożenia miejsc parkingowych), stoisko podczas konferencji w Śląskim Urzędzie Wojewódzkim, stoisko promujące innowacje w ramaqch XXVI Krajowej Wystawy Rolniczej; uczestników wydarzeń w ramach operacji z PO 2016-2017 - 451</t>
    </r>
  </si>
  <si>
    <t>2015- ulotka promująca SIR- nakład 3.000 szt; artykuł w prasie branżowej w Śląskich Aktualnościach Rolniczych- nakład 2600szt.</t>
  </si>
  <si>
    <t>2016 - Artykuły zamieszczane w prasie branżowej w tym w Śląskich Aktualnościach Rolniczych - 12                                                                                                       2017 - Artykuły zamieszczane w prasie branżowej w tym w Śląskich Aktualnościach Rolniczych - 28,  Artykuły/informacje zamieszczane na stronach internetowych oraz portalach społecznościowych (FB), związane z SIR - 30</t>
  </si>
  <si>
    <t xml:space="preserve">2016 - Spotkanie z przedstawicielami szkół rolniczych, spotkanie z przedstawicielami rolniczych związków branżowych, spotkanie z dyrekcją szkoły rolniczej w Nakle Śląskim. Sptkania na Uniwersytecie Przyrodniczym we Wrocławiu i Uniwersytecie Rolniczym w Krakowie. Spotkanie z Grupą Producencką Klimowicz (koszty poniesione w ramach funkcjonowania)                                                                                                                                                      2017 - udzielone konsultacje głównie o działaniu Współpraca </t>
  </si>
  <si>
    <r>
      <rPr>
        <b/>
        <sz val="10"/>
        <color theme="1"/>
        <rFont val="Calibri"/>
        <family val="2"/>
        <charset val="238"/>
        <scheme val="minor"/>
      </rPr>
      <t>2015-  3 szkolenia dla pracowników Śląskiego Ośrodka Doradztwa + 4 szkolenia dla pracowników zajmujących się SIR        2016</t>
    </r>
    <r>
      <rPr>
        <sz val="10"/>
        <color theme="1"/>
        <rFont val="Calibri"/>
        <family val="2"/>
        <scheme val="minor"/>
      </rPr>
      <t xml:space="preserve">- Szkolenia dla doradców w PZDR: Częstochowa, Cieszyn, Lubliniec, Bieruń. Szkolenie nt operacji realizowanych w ramach PO 2016-2017 (2- Częstochowa ŚODR I Złoty Potok) (koszty poniesione w ramach funkcjonowania)                                                                                                                                                      </t>
    </r>
    <r>
      <rPr>
        <b/>
        <sz val="10"/>
        <color theme="1"/>
        <rFont val="Calibri"/>
        <family val="2"/>
        <charset val="238"/>
        <scheme val="minor"/>
      </rPr>
      <t xml:space="preserve">  2017</t>
    </r>
    <r>
      <rPr>
        <sz val="10"/>
        <color theme="1"/>
        <rFont val="Calibri"/>
        <family val="2"/>
        <scheme val="minor"/>
      </rPr>
      <t xml:space="preserve"> - szkolenia dla doradców podczas narad - 3, szkolenia dla uczniów Zespołu Szkól w Żarnowcu - 1 i dla naukowców z Uniwersytetu Rolniczego w Krakowie - 1, Politechniki Częstochowskiej - 1, inne - 4</t>
    </r>
  </si>
  <si>
    <t>Warmińsko-Mazurski Ośrodek Doradztwa Rolniczego z siedzibą w Olsztynie</t>
  </si>
  <si>
    <t>Duża liczba uczestników w 2016 r. jest związana z faktem organizacji stoisk informacyjnych SIR podczas imprez lokalnych i regionalnych. Na stoiskach i innych wydarzeniach były prowadzone listy obecności.
W 2017 r. organizowane było m.in. stoisko informacyjne na Targach AGROShow w Ostródzie - do liczby uczestników doliczono odwiedzających stoisko. Ponadto w 2017 r. ogranizowano dwa wyjazdy studyjne dla rolników i jedno szkolenie dla doraców i partnerów SIR.</t>
  </si>
  <si>
    <t>Na stronie W-MODR jest zakładka poświęcona SIR, jednak nie ma możliwości oddzielnego sprawdzenia liczby wejść na zakładkę.</t>
  </si>
  <si>
    <t>W-MODR nie prowadzi profili w mediach społecznościowych dotyczących SIR</t>
  </si>
  <si>
    <t>Publikacje stanowiły artykuły w miesięczniku wydawanym przez WMODR</t>
  </si>
  <si>
    <t>upowszechniono jeden przykład dobrej praktyki dotyczący stosowania innowacyjnego systemu rolnictwa precyzyjnego</t>
  </si>
  <si>
    <t>1 grupa, 5 spotkań</t>
  </si>
  <si>
    <t>Powstała jedna grupa tematyczna, której celem jest powołanie grupy operacyjnej i ubieganie się o wsparcie z działania "Współpraca"</t>
  </si>
  <si>
    <t>277, liczba porad udzielonych zaintersowanym osobom w zakresie SIR i grup EPI</t>
  </si>
  <si>
    <t>Osoby zaangażowane w organizację i prowadzenie spotkań wskazanych w punkcie 4.1.
Różne osoby były zaangażowane w różnym zakresie.</t>
  </si>
  <si>
    <t>W kategorii "inne" w 2016 r. jest wskazane jedno działanie, które obejmowało zarówno szkolenie, jak i wyjazd studyjny.</t>
  </si>
  <si>
    <t>Wśród przedstawicieli innych grup byli rolnicy, którzy byli zainteresowani podejmowaniem działań innowacyjnych w tematach lub dziedzinach, których dotyczyło konkretne działanie szkoleniowe.</t>
  </si>
  <si>
    <t xml:space="preserve">wydarzenia z tabeli 1 obejmują również szkolenia z tabeli 6.1 i 6.2. W związku z tym koszty wydarzeń z tabeli 1 zosały pomniejszone o koszty wydarzeń z 6.1 i 6.2, aby nie podwajać kosztów.
Do kosztów funkcjonowania zaliczamy płace z pochodnymi i koszty przejazdów służbowych.
</t>
  </si>
  <si>
    <t>Wielkopolski Ośrodek Doradztwa Rolniczego w Poznaniu</t>
  </si>
  <si>
    <t>2 stoiska informacyjno-promocyjne w 2016r.:  stoisko na Wielkopolskich Targach Rolniczych 2016r., liczba uczestników Targów szacunkowo 15 tys., stoisko na Letnich Targach Rolno-Ogrodniczych AGROMARSZ 2016r., liczba uczestników Targów szacunkowo 10 tys.   2 stoiska informacyjno-promocyjne w 2017r.: stoisko na Regionalnych Targach Rolniczych Gołaszyn 2017, liczba uczestników Targów szacunkowo 8 tys., stoisko na Wielkopolskich Targach Rolniczych 2017, liczba uczestników Targów szacunkowo 16 tys.</t>
  </si>
  <si>
    <t>WODR w Poznaniu w latach 2015-2016 nie prowadził tak szczegółowej statystyki.</t>
  </si>
  <si>
    <t>1 wyjazd studyjny: Priorytet 1 i 2 z naciskiem na ułatwianie transferu wiedzy i innowacji oraz 1 wyjazd studyjny: Priorytet 1 i 5 z naciskiem na ułatwianie transferu wiedzy i innowacji</t>
  </si>
  <si>
    <t>Liczba uczesnikLiczba przedstawicieli innych grup interesariuszy: producenci rolni</t>
  </si>
  <si>
    <t>Koszty funkcjonowania w zł: materiały, usługi obce, wynagrodzenia,składki, delegacje.</t>
  </si>
  <si>
    <t>[Zachodniopomorski Ośrodek Doradztwa Rolniczego w Barzkowicach]</t>
  </si>
  <si>
    <t xml:space="preserve">                                                                                                                                                                                                                                                                                                                                                                                                                                                                                                                    2016 -  1. Polowe pokazy pracy maszyn rolniczych, stoisko informacyjne SIR. Głównym celem realizacji operacji było zapoznanie oraz ugruntowanie wiedzy uczestników operacji na temat innowacyjnych rozwiązań w rolnictwie i wykorzystanie jej w praktyce oraz ułatwienie transferu wiedzy, nawiązanie kontaktów, współpracy pomiędzy rolnikami, doradcami a firmami oferującymi innowacyjne rozwiązania dla rolnictwa (P1 i P2). 
2. Wykorzystanie krajowych źródeł białka roślinnego w produkcji, obrocie i przeznaczeniu na cele paszowe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3. Innowacyjne metody uprawy roślin - rolnictwo precyzyjne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4. Trendy w agrobiznesie - innowacje w rynkach rolnych – konferencja. Celem realizacji operacji było zapoznanie uczestników konferencji z zagadnieniem innowacji w rolnictwie oraz możliwościami praktycznego zastosowania przedstawianych rozwiązań, nawiązanie kontaktów i współpracy pomiędzy potencjalnymi uczestnikami rynków rolnych (P1 i P3).
 2017 - 1. Rynki rolne, trendy i innowacyjność w agrobiznesie. Konferencja miała na celu głównie zapoznanie uczestników z zagadnieniem innowacji w rolnictwie oraz możliwościami praktycznego zastosowania przedstawionych rozwiązań, nawiązanie kontaktów i współpracy pomiędzy potencjalnymi uczestnikami rynków rolnych. Ponadto przybliżyła uczestnikom zasady tworzenia i funkcjonowania grup operacyjnych na rzecz innowacji oraz realizacji przez te grupy projektów.
2. Polowe pokazy pracy maszyn rolniczych – innowacje, stoisko informacyjne SIR. Głównym celem realizacji operacji było zapoznanie oraz ugruntowanie wiedzy uczestników operacji na temat innowacyjnych rozwiązań w rolnictwie i wykorzystanie jej w praktyce. Ponadto celem było ułatwienie transferu wiedzy, nawiązanie kontaktów, współpracy pomiędzy rolnikami, doradcami a firmami oferującymi innowacyjne rozwiązania dla rolnictwa.
3. Towarowe gospodarstwa ekologiczne – przykładem innowacyjnych rozwiązań technologicznych. Celem wyjazdu było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4. Innowacje organizacyjne w usługach agroturystycznych. Celem wyjazdu była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5. Przetwórstwo mleka sposobem na dywersyfikację dochodów. Warsztaty połączone z wyjazdem studyjnym pozwoliły uczestnikom zobaczyć możliwości jakie stoją przed gospodarstwami rolnymi, dały szansę wprowadzenia nowych ciągle jeszcze innowacyjnych rozwiązań na terenie województwa zachodniopomorskiego, przyczyniły się także do pokazania możliwości zastosowania innowacji organizacyjnych we własnych gospodarstwach.  Uczestnicy warsztatów mieli możliwość poznania rodzinnych gospodarstw rolnych, które już zajmują się przetwórstwem mleka, poznania specyfiki produkcji co może realnie wpłynąć na podjęcie decyzji o wprowadzeniu innowacyjnych rozwiązań w swoich gospodarstwach. 
6. Możliwości rozwoju gospodarstw ekologicznych. Wizyta studyjna w biodynamicznym gospodarstwie ekologicznym o wielokierunkowym profilu. Celem operacji było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7. Nowe spojrzenie na gospodarkę pasieczną – dwie konferencje. Celem organizacji konferencji było wzmocnienie branży pszczelarskiej, odbudowa i powiększenie ilości rodzin pszczelich w naszym województwie  a także zwiększenie ilości zapylaczy mających kluczowe znaczenie w poziomie plonowania roślin uprawnych. Ponadto identyfikacja problemów współczesnej gospodarki pasiecznej oraz produkcji miodu, a także próba  znalezienia innowacyjnych rozwiązań które mogłyby te problemy rozwiązać.
8. Transfer najnowszych wyników doświadczeń w chowie i hodowli królików do gospodarstw rodzinnych. 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połączonego z wyjazdem studyjnym pozwoliła na przedstawienie grupie możliwości tworzenia sieci współpracy partnerskiej, zasad tworzenia grup roboczych oraz możliwości pozyskiwania funduszy na opracowywanie, wdrażanie nowych lub znacznie udoskonalonych praktyk, procesów, technologii chowu i hodowli królików.
               </t>
  </si>
  <si>
    <t>brak statystyki wejść na stronę internetową - brak zliczania wejść ze względów technicznych (www.zodr.pl)</t>
  </si>
  <si>
    <t>facebook, newsletter - nie posiadamy instalacji</t>
  </si>
  <si>
    <t xml:space="preserve"> 2015 rok  Publikacja broszura UPRAWA ROŚLIN NA CELE ENEGETYCZNE nakład 500 egz.  na stoisko informacyjne SIR podczas XXIX Targów Rolnych AGRO POMERANIA 2016 oraz adresowana do rolników i samorządów lokalnych oraz doradców ZODR,                                                                                                                          publikacja  broszura INNOWACYJNE ROLNICTWO nakład 100 egz. na stoisko informacyjne SIR podczas XXIX Targów Rolnych AGRO POMERANIA 2016 adresowane do doradców ZODR i rolników,                                                                                                                                                                                                                                      ZACHODNIOPOMORSKI MAGAZYN ROLNICZY nr 108 marzec 2016 nakład 3000 egz.BY sprostać wyzwaniom przyszłości str. 20.21.                                                                                           ZACHODNIOPOMORSKI MAGAZYN ROLNICZY nr 110 maj 2016 nakład 3000 egz.Odmiana dobrze dobrana str. 22-25.                                                                             ZACHODNIOPOMORSKI MAGAZYN ROLNICZY nr 112 lipiec 2016 nakład 3000 egz.Europejski tydzień zrównoważonego rozwoju 2016 str. 6.                                  ZACHODNIOPOMORSKI MAGAZYN ROLNICZY nr 112 lipiec 2016 nakład 3000 egz.Innowacje w produkcji roślinnej str. 8.                                  ZACHODNIOPOMORSKI MAGAZYN ROLNICZY nr 109 kwiecień 2016 nakład 3000 egz. Promocja SIR zaproszenie na konferencjęnt. Uproszczenia i innowacje w technologiach produkcji roślinnej  ZACHODNIOPOMORSKI MAGAZYN ROLNICZY  (czerwiec)  Innowacje w produkcji roślinej, System uprawy a zachwaszczenie (materiał z konferencji);   Korzyści z uproszczeń (materiał z konferencji);  lipiec - publikacja-broszura Uprawa roślin na cele energetyczne;  wrzesień broszura -    Innowacje w rolnictwie;  Zachodniopomorski  Magazyn Rolniczy     nr 113 -  Dron  - stały element krajobrazu ? ; październik Zachodniopomorski Magazyn Rolniczy nr 114 -   Polowe pokazy pracy maszyn - innowacje,  Stawiamy na innowacyjność; Zachodniopomorski Magazyn Rolniczy nr 115 (listopad) -     ZODR w Barzkowicach informuje o planowanych projektach organizowanych w ramach PO KSOW na lata 2016-2017 w zakresie SIR ; Zachodniopomorski Magazyn Rolniczy (grudzień) - Nauka doradztwu rolniczemu,    Forum Wiedzy i Innowacji , Innowacje w Zagrodzie Edukacyjnej, SIR - Sieć kontaktów i powiązań, Jak podjąć inicjatywę?, Strączkowe wracają do łask, Ogrzewanie bez smogu; ZACHODNIOPOMORSKI MAGAZYN ROLNICZY (luty 2017) nr 117 - Innowacje w rolnictwie; Nauka, doradztwo, innowacje; Panele fotowoltaiczne w gospodarstwach rolnych;  Rolnictwo precyzyjne; ZACHODNIOPOMORSKI MAGAZYN ROLNICZY (marzec 2017) nr 118 - Gospodarstwa opiekuńcze; ZACHODNIOPOMORSKI MAGAZYN ROLNICZY (maj 2017) nr 120 -  Innowacje w polskich gospodarstwach                                                                                                                                                                                                                                                                                                              październik 2017 - artykuły - zaproszenie na szkolenie połączone z wyjzadem studyjnym nt."Możliwości rozwoju gospodarstw ekologicznych"; Polowe pokazy pracy maszyn                                                                                                                                              </t>
  </si>
  <si>
    <t>brak</t>
  </si>
  <si>
    <t xml:space="preserve"> informacja na stronie zodr.pl nt. poszukiwanie ekspertów do 2 nowych Grup Fokusowych, luty 2017; informacja na stronie internetowej zodr.pl nt. poszukiwania ekspertów do 3 nowych Grup Fokusowych, czerwiec 2017;</t>
  </si>
  <si>
    <t xml:space="preserve">2016 - 1. Panele fotowoltaiczne w gospodarstwach rolnych województwa zachodniopomorskiego – szkolenie oraz wyjazd studyjny. Głównym celem operacji było przeszkolenie uczestników operacji  na temat regulacji prawnych w zakresie OZE, programów wspierających instalacje OZE, a także szczegółów technicznych instalacji.                                                                                                                                                                                                                                                                      2. Wdrażanie inicjatyw na rzecz rozwoju obszarów wiejskich oraz aktywizacja mieszkańców wsi na rzecz podejmowania inicjatyw w zakresie rozwoju obszarów wiejskich, w tym kreowanie procesu tworzenia miejsc pracy na terenach wiejskich – seminarium połączone z wyjazdem studyjnym. Głównym celem realizacji operacji była aktywizacja mieszkańców wsi na rzecz podejmowania inicjatyw w zakresie rozwoju obszarów wiejskich, w tym kreowania miejsc pracy na terenach wiejskich.                                                                                                                                                                                                                       3. Konferencja Z WYJAZDEM STUDYJNYM 19-20 maja 2016 UPROSZCZENIA I INNOWACJE W TECHNOLOGIACH PRODUKCJI ROŚLINNEJ;              grupa mieszana, uczestnicy: doradcy,  rolnicy, przedsiębiorcy rolni, pracownicy nauki, pracownicy instytucji okolorolniczych                                                                2017 - 1. Rynki rolne, trendy i innowacyjność w agrobiznesie. Konferencja miała na celu głównie zapoznanie uczestników z zagadnieniem innowacji w rolnictwie oraz możliwościami praktycznego zastosowania przedstawionych rozwiązań, nawiązanie kontaktów i współpracy pomiędzy potencjalnymi uczestnikami rynków rolnych. Ponadto przybliżyła uczestnikom zasady tworzenia i funkcjonowania grup operacyjnych na rzecz innowacji oraz realizacji przez te grupy projektów.
2. Towarowe gospodarstwa ekologiczne – przykładem innowacyjnych rozwiązań technologicznych. Celem wyjazdu było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3. Innowacje organizacyjne w usługach agroturystycznych. Celem wyjazdu była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4. Przetwórstwo mleka sposobem na dywersyfikację dochodów. Warsztaty połączone z wyjazdem studyjnym pozwoliły uczestnikom zobaczyć możliwości jakie stoją przed gospodarstwami rolnymi, dały szansę wprowadzenia nowych ciągle jeszcze innowacyjnych rozwiązań na terenie województwa zachodniopomorskiego, przyczyniły się także do pokazania możliwości zastosowania innowacji organizacyjnych we własnych gospodarstwach.  Uczestnicy warsztatów mieli możliwość poznania rodzinnych gospodarstw rolnych, które już zajmują się przetwórstwem mleka, poznania specyfiki produkcji co może realnie wpłynąć na podjęcie decyzji o wprowadzeniu innowacyjnych rozwiązań w swoich gospodarstwach. 
5. Możliwości rozwoju gospodarstw ekologicznych. Wizyta studyjna w biodynamicznym gospodarstwie ekologicznym o wielokierunkowym profilu. Celem operacji było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6. Nowe spojrzenie na gospodarkę pasieczną – dwie konferencje. Celem organizacji konferencji było wzmocnienie branży pszczelarskiej, odbudowa i powiększenie ilości rodzin pszczelich w naszym województwie  a także zwiększenie ilości zapylaczy mających kluczowe znaczenie w poziomie plonowania roślin uprawnych. Ponadto identyfikacja problemów współczesnej gospodarki pasiecznej oraz produkcji miodu, a także próba  znalezienia innowacyjnych rozwiązań które mogłyby te problemy rozwiązać.
7. Transfer najnowszych wyników doświadczeń w chowie i hodowli królików do gospodarstw rodzinnych. 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połączonego z wyjazdem studyjnym pozwoliła na przedstawienie grupie możliwości tworzenia sieci współpracy partnerskiej, zasad tworzenia grup roboczych oraz możliwości pozyskiwania funduszy na opracowywanie, wdrażanie nowych lub znacznie udoskonalonych praktyk, procesów, technologii chowu i hodowli królików.
               </t>
  </si>
  <si>
    <t>koszty funkcjonowania obejmują wynagrodzenia, delegacje, noclegi</t>
  </si>
  <si>
    <t>01 styczeń 2015 - 31 grudzień 2017 r.</t>
  </si>
  <si>
    <t>SR KSOW Województwa Świętokrzyskiego</t>
  </si>
  <si>
    <t>Rok 2015 - Udział w 3 imprezach targowych (dwie krajowe -   Udział w Międzynarodowych Targach Łódzkich Natura Food oraz Udział w Targach Sadowniczo-Warzywniczych Hort-Technika ; jedna zagraniczna - Udział w Międzynarodowych Targach INDAGRA 2015 w Bukareszcie ); organizacja 2 spotkań bezkosztowych (jako jedna operacja) nt. zasad wyboru Lokalnych Strategii Rozwoju w ramach PROW na lata 2014-2020  - priorytet 1 i priorytet 6 (włączenie społeczne); organizacja konferencji w ramach Planu komunikacyjnego - priorytet 1 i priorytet 2 i 3                                                                                                                                                                                             Rok 2016 - 2i3; 4i5; 6 - operacja dotyczy wsparcia organizacji cyklicznych Spotkań Sadowniczych w Sandomierzu w roku 2016, działania o charakterze targowo-wystawienniczo-konferencyjnym, realizującego kilka priorytetów.                                                                                                                                                              W jednym wydarzeniu o zasięgu krajowym pn. LGD Świętokrzyskie ponad wszystkie! - AGROTRAVEL - wynajem powierzchni targowej, zabudowa, wyposażenie - poza SR KSOW wo. świętokrzyskiego uczestniczyło  siedem  jednostek sieci KSOW.                                                                                                     Nazwy wszystkich działań, zrealizowanych w 2015, 2016 i 2017 roku, zostały opisane w komentarzu do tabeli 1.2</t>
  </si>
  <si>
    <r>
      <rPr>
        <b/>
        <sz val="10"/>
        <rFont val="Calibri"/>
        <family val="2"/>
        <charset val="238"/>
      </rPr>
      <t xml:space="preserve">Rok 2015 - </t>
    </r>
    <r>
      <rPr>
        <sz val="10"/>
        <rFont val="Calibri"/>
        <family val="2"/>
        <charset val="238"/>
      </rPr>
      <t xml:space="preserve">Liczba uczestników w wydarzeniach o zasięgu lokalnym i krajowym jest podana w przybliżeniu, ze względu na charakter niektórych działań (np. festyny, dożynki). </t>
    </r>
    <r>
      <rPr>
        <b/>
        <sz val="10"/>
        <rFont val="Calibri"/>
        <family val="2"/>
        <charset val="238"/>
      </rPr>
      <t xml:space="preserve">Wydarzenia lokalne: </t>
    </r>
    <r>
      <rPr>
        <sz val="10"/>
        <rFont val="Calibri"/>
        <family val="2"/>
        <charset val="238"/>
      </rPr>
      <t>Promowanie wydarzenia pn. "XV Świętokrzyskie Dożynki Wojewódzkie" -  emisja w telewizji regionalnej (szczegóły w tabeli 2.4); Współorganizacja konkursu na tradycyjny wieniec dożynkowy podczas Dożynek Wojewódzkich w 2015 r.(252</t>
    </r>
    <r>
      <rPr>
        <b/>
        <sz val="10"/>
        <rFont val="Calibri"/>
        <family val="2"/>
        <charset val="238"/>
      </rPr>
      <t xml:space="preserve"> </t>
    </r>
    <r>
      <rPr>
        <sz val="10"/>
        <rFont val="Calibri"/>
        <family val="2"/>
        <charset val="238"/>
      </rPr>
      <t xml:space="preserve">osoby); Organizacja plenerowego wydarzenia promocyjno-edukacyjnego pn. "Dary Świętokrzyskich Lasów" (3000 osób);  Organizacja imprezy pn. "Ogólnopolski Hubertus Świętokrzyski" (5000 osób); W ramach Planu komunikacyjnego: 2 spotkanie bezkosztowe (jako jedna operacja) nt. zasad wyboru Lokalnych Strategii Rozwoju w ramach PROW na lata 2014-2020, (37 i 35 osób); Konferencja dotycząca działań infrastrukturalnych PROW 2014-2020 (221osób). </t>
    </r>
    <r>
      <rPr>
        <b/>
        <sz val="10"/>
        <rFont val="Calibri"/>
        <family val="2"/>
        <charset val="238"/>
      </rPr>
      <t xml:space="preserve">Wydarzenia krajowe: </t>
    </r>
    <r>
      <rPr>
        <sz val="10"/>
        <rFont val="Calibri"/>
        <family val="2"/>
        <charset val="238"/>
      </rPr>
      <t xml:space="preserve">Organizacja stoiska promującego wartości kulturowe obszarów wiejskich Województwa Świętokrzyskiego podczas Dożynek Prezydenckich w Spale w 2015 r. (3000 osób); Udział w Międzynarodowych Targach Łódzkich Natura Food - (22 uczestników); Udział w Targach Sadowniczo-Warzywniczych Hort-Technika (300 uczestników); </t>
    </r>
    <r>
      <rPr>
        <b/>
        <sz val="10"/>
        <rFont val="Calibri"/>
        <family val="2"/>
        <charset val="238"/>
      </rPr>
      <t xml:space="preserve">Wydarzenia międzynarodowe: </t>
    </r>
    <r>
      <rPr>
        <sz val="10"/>
        <rFont val="Calibri"/>
        <family val="2"/>
        <charset val="238"/>
      </rPr>
      <t>Udział w Międzynarodowych Targach INDAGRA 2015 w Bukareszcie (19 uczestników).</t>
    </r>
    <r>
      <rPr>
        <b/>
        <sz val="10"/>
        <rFont val="Calibri"/>
        <family val="2"/>
        <charset val="238"/>
      </rPr>
      <t xml:space="preserve">                                                                                                                                                         Rok 2016</t>
    </r>
    <r>
      <rPr>
        <sz val="10"/>
        <rFont val="Calibri"/>
        <family val="2"/>
        <charset val="238"/>
      </rPr>
      <t xml:space="preserve"> - 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osób wystawców, odwiedzjących stoisko w ciagu każdego dnia targowego oraz liczba sprzedanych biletów.    </t>
    </r>
    <r>
      <rPr>
        <b/>
        <sz val="10"/>
        <rFont val="Calibri"/>
        <family val="2"/>
        <charset val="238"/>
      </rPr>
      <t xml:space="preserve">Wydarzenia lokalne: </t>
    </r>
    <r>
      <rPr>
        <sz val="10"/>
        <rFont val="Calibri"/>
        <family val="2"/>
        <charset val="238"/>
      </rPr>
      <t xml:space="preserve">Szkolenie lokalnych grup działania województwa świętokrzyskiego (40 osób); II Forum Aktywnych Kobiet Ziemi Koneckiej - Produkt Tradycyjny i lokalny czynnikiem rozwoju obszarów wiejskich (104 osoby);  Organizacja konferencji podczas imprezy pn.: „Wojewódzkie Święto Kwitnącej Wiśni – Nowe 2016” ( 360 osób); </t>
    </r>
    <r>
      <rPr>
        <b/>
        <sz val="10"/>
        <rFont val="Calibri"/>
        <family val="2"/>
        <charset val="238"/>
      </rPr>
      <t xml:space="preserve"> </t>
    </r>
    <r>
      <rPr>
        <sz val="10"/>
        <rFont val="Calibri"/>
        <family val="2"/>
        <charset val="238"/>
      </rPr>
      <t>Organizacja X Festiwalu Ludowego im. Stefana Ostrowskiego i Jana Jawora (2 tys. osób); Upowszechnianie dobrych praktyk w zakresie rozwoju obszarów wiejskich poprzez organizację XIX Dnia Świetokrzyskiej Truskawki (2 tys. osób);Prezentacja produktu regionalnego podczas wydarzenia pn.„Świętokrzyska Victoria” ( 400 osób);  Organizacja Finału Regionalnego Konkursu „Nasze Kulinarne Dziedzictwo – Smaki Regionów” ( tysiąc osób)</t>
    </r>
    <r>
      <rPr>
        <b/>
        <sz val="10"/>
        <rFont val="Calibri"/>
        <family val="2"/>
        <charset val="238"/>
      </rPr>
      <t xml:space="preserve">; </t>
    </r>
    <r>
      <rPr>
        <sz val="10"/>
        <rFont val="Calibri"/>
        <family val="2"/>
        <charset val="238"/>
      </rPr>
      <t>Promowanie wartości kulturowych obszarów wiejskich poprzez organizację XVI Świętokrzyskich Dożynek Wojewódzkich (1500 osó);</t>
    </r>
    <r>
      <rPr>
        <b/>
        <sz val="10"/>
        <rFont val="Calibri"/>
        <family val="2"/>
        <charset val="238"/>
      </rPr>
      <t xml:space="preserve"> </t>
    </r>
    <r>
      <rPr>
        <sz val="10"/>
        <rFont val="Calibri"/>
        <family val="2"/>
        <charset val="238"/>
      </rPr>
      <t xml:space="preserve"> Organizacja konkursu "Na najpiękniejszy wieniec dożynkowy"podczas XVI Świętokrzyskich Dożynek Wojewódzkich (520 osób); Promocja produktów lokalnych poprzez organizację konkursu kulinarnego "Przez Żołądek do Serca" (180 osób); Organizacja plenerowego wydarzenia promocyjno-edukacyjnego pn. "Dary Świętokrzyskich Lasów" (3000 osób);  organizacja wyjazdu studyjnego na XVIII Międzynarodową wystawę Rolniczą AGRO SHOW w Bednarach w celu gromadzenia i upowszechnienia dobrych praktyk mających wpływ na obszary wiejskie (35 osób); Organizacja szkoleniapn. "Innowacyjne metody chowu małych przeżuwaczy" (61 osób); Organizacjad  szkolenia na temat wymiany doświadczeń w zakresie rozwoju obszarów wiejskich poprzez działalność lokalnych stowarzyszeń, na przykładzie działań Świętokrzyskiej Izby Rolniczej i Świętokrzyskiej Federacji Agroturystyki i Turystki Wiejskiej „Ziemia Świętokrzyska" (156 osób); Organizacja szkolenia pn. „Podniesienie konkurencyjności gospodarstw rolnych poprzez zrzeszanie się rolników ze szczególnym uwzględnieniem formy spółdzielczej” (199 osób); W ramach Planu komunikacyjnego spotkania informacyjno – szkoleniowe przed naborami na Gospodarkę wodno-ściekową i Odnowę wsi (179 osób). (</t>
    </r>
    <r>
      <rPr>
        <b/>
        <sz val="10"/>
        <rFont val="Calibri"/>
        <family val="2"/>
        <charset val="238"/>
      </rPr>
      <t xml:space="preserve">Wydarzenia krajowe: </t>
    </r>
    <r>
      <rPr>
        <sz val="10"/>
        <rFont val="Calibri"/>
        <family val="2"/>
        <charset val="238"/>
      </rPr>
      <t xml:space="preserve"> Udział w Targach Ekologia dla Rodziny ECOFAMILY 2016  w Kielcach (3 tys. osób w tym 10 wystawców z woj. św.) ; Organizacja działania propagującego produkt regionalny województwa świętokrzyskiego podczas Spotkania Noworocznego Członków Warszawskiego Klubu Przyjaciół Ziemi Kieleckiej (450 osób); Prezentacja produktu regionalnego podczas Mistrzostw Polski Urzędów Marszałkowskich w Piłce Nożnej Halowej „Świętokrzyskie 2016” (300 osób); Wsparcie organizacji cyklicznych "XXV Spotkań Sadowniczych SANDOMIERZ 2016" o charakterze targowo - wystawienniczo konferencyjnym w celu ułatwienia transferu wiedzy i innowacji w rolnictwie oraz zwiekszenia rentowności i konkurencyjności gospodarstw sadowniczych (300 osób); Olimpiada Młodych Producentów Rolnych Finał Krajowy ( 90 osób); Organizacja i Przeprowadzenie Ogólnopolskiego Festiwalu Artystycznego Wsi Polskiej 2016 (400 osób); Udział w Targach Technologii Sadowniczych i Warzywniczych HORTI-TECH (200 osób); Promocja wartości kulturowych obszarów wiejskich woj. świętokrzyskiego podczas Dożynek Prezydenckich w Spale (3000 osób); </t>
    </r>
    <r>
      <rPr>
        <b/>
        <sz val="10"/>
        <rFont val="Calibri"/>
        <family val="2"/>
        <charset val="238"/>
      </rPr>
      <t xml:space="preserve">Wydarzenia międzynarodowe: </t>
    </r>
    <r>
      <rPr>
        <sz val="10"/>
        <rFont val="Calibri"/>
        <family val="2"/>
        <charset val="238"/>
      </rPr>
      <t xml:space="preserve">LGD Świętokrzyskie ponad wszystkie! - AGROTRAVEL - wynajem powierzchni targowej, zabudowa, wyposażenie (20 tys.osób w tym 16 wystawców LGD-ów) .                                                                                                                                                                                                                    </t>
    </r>
    <r>
      <rPr>
        <b/>
        <sz val="10"/>
        <rFont val="Calibri"/>
        <family val="2"/>
        <charset val="238"/>
      </rPr>
      <t xml:space="preserve">Rok 2017 -  </t>
    </r>
    <r>
      <rPr>
        <sz val="10"/>
        <rFont val="Calibri"/>
        <family val="2"/>
        <charset val="238"/>
      </rPr>
      <t xml:space="preserve">Liczba uczestników w przypadku wydarzeń, podczas których nie była sporządzona lista obecności lub  formularze zgłoszeniowe podana została na podstawie sprawozdania złożonego przez wykonawcę.  </t>
    </r>
    <r>
      <rPr>
        <b/>
        <sz val="10"/>
        <rFont val="Calibri"/>
        <family val="2"/>
        <charset val="238"/>
      </rPr>
      <t xml:space="preserve">Wydarzenia lokalne: </t>
    </r>
    <r>
      <rPr>
        <sz val="10"/>
        <rFont val="Calibri"/>
        <family val="2"/>
        <charset val="238"/>
      </rPr>
      <t>Podniesienie wiedzy i umiejętności pracowników lgd województwa świętokrzyskiego (110 osób); Organizacja konkursu promującego produkty ekologiczne podczas Festiwalu Ludowego (2020); Żywność od rolnika wprost do konsumenta (137 osób); Wspieranie rozwoju i promocja potencjału obszarów wiejskich poprzez organizację XX Dnia Świętokrzyskiej Truskawki w Bielinach (7000 osób); Promocja produktów regionalnych poprzez organizację Świętokrzyskiego Konkuru Kulinarnego (150 osób); Zioła szansą aktywizacji mieszkańców obszarów wiejskich (33 osoby); Dobre - bo tradycyjne i lokalne (1000 osób); Świętokrzyska Wojewódzka Wystawa Zwierząt Hodowlanych (2000 osób); Wyjazd studyjny (krajowy) dla członków Sieci Dziedzictwo Kulinarne Świętokrzyskie (35 osób); Organizacja warsztatów dla członków Sieci Dziedzictwo Kulinarne Świętokrzyskie (50 osób); Organizacja plenerowego wydarzenia promocyjno-edukacyjnego pn. „Dary Świętokrzyskich Lasów” (3000 osób); Konkurs kulinarny dla Kół Gospodyń Wiejskich "Smaki gęsiny" (205 osób); Wyjazd studyjny do krajów Unii Europejskiej (17 osób). W ramach Palnu komunikacyjnego szkolenie dla Lokalnych Grup Dzialania (49 osób).</t>
    </r>
  </si>
  <si>
    <t xml:space="preserve">swietokrzyskie.ksow.pl; prow2014-2020.sbrr.pl </t>
  </si>
  <si>
    <r>
      <t xml:space="preserve">Publikacja: Vademecum rolnictwa i rozwoju obszarów wiejskich województwa świętokrzyskiego;  realizacja priorytetu 1 - </t>
    </r>
    <r>
      <rPr>
        <b/>
        <sz val="10"/>
        <color theme="1"/>
        <rFont val="Calibri"/>
        <family val="2"/>
        <charset val="238"/>
        <scheme val="minor"/>
      </rPr>
      <t>Ułatwianie transferu wiedzy i innowacji w rolnictwie i leśnictwie oraz na obszarach wiejskich</t>
    </r>
  </si>
  <si>
    <t xml:space="preserve">rok 2015: Liczba emisji każdej informacji - 80; oglądalność: codziennie: 19,7% - 64 419 widzów; kilka razy w tygodniu: 36,7% - 120 009 widzów rok 2017: W ramach jednej operacji z Planu komunikacyjnego: reklama w telewizji regionalnej - liczba emisji 20; 5 audycji reklamowych w radio -  liczba emisji 20 </t>
  </si>
  <si>
    <r>
      <rPr>
        <b/>
        <sz val="10"/>
        <color theme="1"/>
        <rFont val="Calibri"/>
        <family val="2"/>
        <charset val="238"/>
        <scheme val="minor"/>
      </rPr>
      <t>Rok 201</t>
    </r>
    <r>
      <rPr>
        <sz val="10"/>
        <color theme="1"/>
        <rFont val="Calibri"/>
        <family val="2"/>
        <charset val="238"/>
        <scheme val="minor"/>
      </rPr>
      <t xml:space="preserve">5 - 2 posiedzenia Wojewódzkiej Grupy Roboczej ds. KSOW: Pierwsze: w sprawie przyjęcia Regulaminu Pracy Grupy Roboczej do spraw Krajowej Sieci Obszarów Wiejskich Województwa Świętokrzyskiego, zaopiniowania Planu operacyjnego na lata 2014-2015 Planu Działania Krajowej Sieci Obszarów Wiejskich na lata 2014-2020 dla województwa świętokrzyskiego oraz w sprawie zaopiniowania Projektu Planu Działania Krajowej Sieci Obszarów Wiejskich  na lata 2014 – 2020. Drugie: w sprawie zaopiniowania Projektu Listy rankingowej Planu operacyjnego na lata 2016 – 2017 na 2016 rok Planu Działania  Krajowej Sieci Obszarów Wiejskich  na lata 2014- 2020 dla województwa świętokrzyskiego oraz zaopiniowania Planu operacyjnego na lata 2016 - 2017  na  2016 rok Planu Działania Krajowej Sieci Obszarów Wiejskich na lata 2014-2020 dla województwa świętokrzyskiego.  
</t>
    </r>
    <r>
      <rPr>
        <b/>
        <sz val="10"/>
        <color theme="1"/>
        <rFont val="Calibri"/>
        <family val="2"/>
        <charset val="238"/>
        <scheme val="minor"/>
      </rPr>
      <t>Rok 2016</t>
    </r>
    <r>
      <rPr>
        <sz val="10"/>
        <color theme="1"/>
        <rFont val="Calibri"/>
        <family val="2"/>
        <charset val="238"/>
        <scheme val="minor"/>
      </rPr>
      <t xml:space="preserve"> - 6 posiedzeń Wojewódzkiej Grupy Roboczej ds. KSOW w sprawie: zaopiniowanie informacji z realizacji Planu Działania 2014-2015 w ramach PROW 2007-2013; zaopiniowanie informacji półrocznej z realizacji Planu Operacyjnego na lata 2014-2015 w ramach PROW 2014-2020 oraz sprawozdania dwuletniego z realizacji Planu Operacyjnego na lata 2014-2015 w ramach PROW 2014-2020; zaopiniowanie sprawozdania rocznego z realizacji Planu działania Krajowej Sieci Obszarów Wiejskich na lata 2014-2020 za rok 2015; zaopiniowania propozycji zmiany nazwy działania w Planie operacyjnym Krajowej Sieci Obszarów Wiejskichna lata 2016-2017 w ramach Programu Rozwoju Obszarów Wiejskich na lata 2014-2020; zaopiniowania I Informacji półrocznej z realizacji Planu operacyjnego KSOW na lata 2016-2017 w ramach PROW na lata 2014-2020; zaopiniowania II Informacji półrocznej z realizacji Planu operacyjnego KSOW na lata 2016-2017 w ramach PROW na lata 2014-2020.
</t>
    </r>
    <r>
      <rPr>
        <b/>
        <sz val="10"/>
        <color theme="1"/>
        <rFont val="Calibri"/>
        <family val="2"/>
        <charset val="238"/>
        <scheme val="minor"/>
      </rPr>
      <t xml:space="preserve">Rok 2017 </t>
    </r>
    <r>
      <rPr>
        <sz val="10"/>
        <color theme="1"/>
        <rFont val="Calibri"/>
        <family val="2"/>
        <charset val="238"/>
        <scheme val="minor"/>
      </rPr>
      <t xml:space="preserve">-  4 posiedzenia Wojewódzkiej Grupy Roboczej ds. KSOW: 1 posiedzenie w sprawie rekomendacji działań skierowanych do realizacji w ramach Planu komunikacyjnego Planu operacyjnego na lata 2016 – 2017 na 2017 rok Planu Działania Krajowej Sieci Obszarów Wiejskich na lata 2014 – 2020 dla województwa świętokrzyskiego; zaopiniowania Listy ocenianych operacji i wybranych do realizacji Planu operacyjnego na lata 2016 – 2017 na 2017 rok Planu Działania Krajowej Sieci Obszarów Wiejskich na lata 2014 – 2020 dla województwa świętokrzyskiego oraz zaopiniowania zmian w Planie operacyjnym na lata 2016 – 2017 Planu Działania Krajowej Sieci Obszarów Wiejskich na lata 2014 – 2020 dla województwa świętokrzyskiego; 2 posiedzenie w sprawie zaopiniowania Sprawozdania rocznego z realizacji Planu działania Krajowej Sieci Obszarów Wiejskich za rok 2016 w ramach Programu Rozwoju Obszarów Wiejskich na lata 2014-2020; 3 posiedzenie w sprawie zaopiniowania III Informacji półrocznej z realizacji Planu operacyjnego Krajowej Sieci Obszarów Wiejskich na lata 2016-2017 w ramach Programu Rozwoju Obszaró Wiejskich na lata 2014-2020; 4 posiedzenie w sprawie zaopiniowania zmian w Planie operacyjnym na lata 2016-2017 Planu Działania Krajowej Sieci Obszarów Wiejskich na lata 2014-2020 dla województwa świętokrzyskiego. 
</t>
    </r>
  </si>
  <si>
    <r>
      <rPr>
        <b/>
        <sz val="10"/>
        <rFont val="Calibri"/>
        <family val="2"/>
        <charset val="238"/>
      </rPr>
      <t>Rok 2016:</t>
    </r>
    <r>
      <rPr>
        <sz val="10"/>
        <rFont val="Calibri"/>
        <family val="2"/>
        <charset val="238"/>
      </rPr>
      <t xml:space="preserve"> II Forum Aktywnych Kobiet Ziemi Koneckiej - Produkt Tradycyjny i lokalny czynnikiem rozwoju obszarów wiejskich - osoby działające w organizacjach pozarządowych tj. stowarzyszeniach, grupach kobiecych formalnych i nieformalnych, kobiety pracujące dla dobra społeczności; szkolenie lokalnych grup działania województwa świętokrzyskiego - pracownicy lokalnych grup działania województwa świętokrzyskiego.  szkolenie SIR - liderzy wiejskich organizacji i grup nieformalnych, predstawiciele Świętokrzyskiej Izby Rolniczej oraz Świętokrzyskiej Federacji Agroturystyki i Turystyki Wiejskiej "Ziemia Świętokrzyska"; wyjazd studyjny - rolnicy, producenci, doradcy, przedstwiciele administracji rządowej i samorządowej; szkolenie małe przezuwacze - rolnicy, Świętokrzyski Związek Hodowców Owiec i Kóz firmy ubojowe, przetwórcze i handlowe;  szkolenie ŚODR - rolnicy prowadzący działalnosc rolniczą                                                                      </t>
    </r>
    <r>
      <rPr>
        <b/>
        <sz val="10"/>
        <rFont val="Calibri"/>
        <family val="2"/>
        <charset val="238"/>
      </rPr>
      <t xml:space="preserve">Rok 2017: </t>
    </r>
    <r>
      <rPr>
        <sz val="10"/>
        <rFont val="Calibri"/>
        <family val="2"/>
        <charset val="238"/>
      </rPr>
      <t>Podniesienie wiedzy i umiejętności pracowników lgd województwa świętokrzyskiego (szkolenia) - przedstawiciele lokalnych grup działania - członkowie Świętokrzyskiej Sieci LGD; Organizacja warsztatów dla członków Sieci Dziedzictwo Kulinarne Świętokrzyskie - Członkowie Sieci Dziedzictwo Kulinarne Świętokrzyskie; W ramach Palnu komunikacyjnego szkolenie dla Lokalnych Grup Dzialania; Podniesienie wiedzy i umiejętności pracowników lgd województwa świętokrzyskiego (wizyta studyjna na Łotwie) - członkowie Świętokrzyskiej Sieci LGD; Zioła szansą aktywizacji mieszkańców obszarów wiejskich (wyjazd studyjny) - rolnicy z terenu województwa świętokrzyskiego, posiadający gospodarstwo rolne o powierzchni nie przekraczającej  średniej województwa; Wyjazd studyjny (krajowy) dla członków Sieci Dziedzictwo Kulinarne Świętokrzyskie - Członkowie Sieci Dziedzictwo Kulinarne Świętokrzyskie; Wyjazd studyjny do krajów Unii Europejskiej -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r>
  </si>
  <si>
    <t xml:space="preserve">Zebranie od LGD-ów informacji dotyczących realizacji projektów w zakresie współpracy międzynarodowej oraz poszukiwania partnerów zagranicznych. </t>
  </si>
  <si>
    <t>Koszty funkcjonowania - koszty administracyjne</t>
  </si>
  <si>
    <t>Ośrodek Doradztwa Rolniczego w. świętokrzyskiego</t>
  </si>
  <si>
    <t xml:space="preserve">W 2015 roku odbyło się 4 szkolenia informacyjne na których przeszkolono 79 osób ( rolnicy, przedsiębiorcy)  Przeszkolono również 37 pracowników ODR ( 2 szkolenia) Na konferencji odnośnie SIR przekazano informację dla 60 osób. Przygotowano stosika informacyjne na 3  wystawach/targach. Poszukiwano partnerów i przekazano informację na temat SIR na 9 spotkaniach dla samorządów, przedsiębirców i rolników. W 2016 roku Łącznie odbyło się 10 takich spotkań (9 spotkań szkoleniowych, 1 konferencja), na których informacje odnośnie SIR przekazano ponad 228 osobom.       Przygotowano stoiska promocyjne na 13 wystawach, dożynkach, targach gdzie próbowano nawiązać kontakty z wystawcami, których działalność powiązana była z rolnictwem i którzy mogli być zainteresowani partnerstwem w SIR. Zrealizowano 5 operacji z planu operacyjnego w których wzieło udział 521 osób.       
W 2017 roku  odbył się:  Wykład przeprowadzony na Spotkaniach Sadowniczych 25.01. dotyczącego programu "Współpraca" dla około 1000 osób.  Przeprowadzono 5 szkoleń dla 145 osób podczas których przybliżano cele, zadania i działania SIR.  Zorganizowano również 9 spotkań szkoleniowych dla 54 osób na których omawiano wsparcie tworzenia i organizacji potencjalnych grup operacyjnych na rzecz innowacji oraz opracowanie przez nie projektów na terenie województwa.  Zorganizowano też szkolenia na których poruszano zagadnienia związane z przygotowaniem i realizacją operacji w ramach dwuletnich planów operacji i w ramach działania współpraca.  – 5 szkoleń dla 98 osób, wykład na konferencji dla 60 osób .   Sporządzano stoiska informacyjne ŚODR i SIR na:  26 Spotkaniach Sadowniczych w Sandomierzu, Targach Pracy i edukacji organizowanych przez Urząd Pracy, Wystawie DOD w Modliszewicach, dożynkach powiatu sandomierskiego, dożynkach wojewódzkich, Targach HORTI-TECH .  
Zrealizowano trzy operacje w ramach których na 6 szkoleniach przeszkolono 233 osoby.
</t>
  </si>
  <si>
    <t>Wykład przeprowadzony na Spotkaniach Sadowniczych 25.01. 2017dotyczącego programu "Współpraca" dla około 1000 osób - wykład o charakterze otwartym - uczestniczyli chętni odwiedzający konferencję  "Spotkania Sadownicze".</t>
  </si>
  <si>
    <t>Liczba odsłon wszystkich zakładek i zamieszczonych informacji - 6864</t>
  </si>
  <si>
    <t xml:space="preserve">Artykuły w Aktualnościach rolniczych - 8 artykułów. 
Sporządzono 34 artykułów/informacji zamieszczane na stronach internetowych ŚODR Modliszewice 
Rok 2017  Napisano Informacja na stronę internetową www.sodr.pl „26 Spotkania Sadownicze-Innowacyjne rozwiązania w sadownictwie”,         e) Miesięcznik „Aktualności Rolnicze” artykuł „Inkubator przetwórczy w Dwikozach”                      W 2017 sporządzono 25 artykułów/wpisów na stronę internetową zakładka SIR. </t>
  </si>
  <si>
    <t xml:space="preserve">W 2016 roku Udzielono wywiadu do Radia Kielce na temat:  
• ”Wdrażanie programu Współpraca” 
• „Informacje nt. SIR i innowacji w rolnictwie, możliwości finansowania”.                                                    
W 2017 roku udzielono 2  wywiadów do Radia Kielce na  temat Porgramu "Współpraca", udzielono wywiadu do telewizji na temat działania programu " Współpraca" 
</t>
  </si>
  <si>
    <r>
      <rPr>
        <sz val="10"/>
        <rFont val="Calibri"/>
        <family val="2"/>
        <charset val="238"/>
      </rPr>
      <t>Przesłanie informacji do Bazy danych innowacyjnych rozwiązań w rolnictwie, leśnictwie i na obszarach wiejskich do CDR. 
Wysłano cztery informacje:
• Wprowadzenie do uprawy nowej odmiany bobiku Amulet
• Wprowadzenie do uprawy nowej odmiany pszenicy ozimej MEMORY
• Wprowadzenie do uprawy nowej odmiany pszenżyta  ozimego KWS TRISOL
• Wprowadzenie do uprawy nowej odmiany rzepaku  ozimego Marathon</t>
    </r>
    <r>
      <rPr>
        <sz val="10"/>
        <color indexed="11"/>
        <rFont val="Calibri"/>
        <family val="2"/>
        <charset val="238"/>
      </rPr>
      <t xml:space="preserve">
</t>
    </r>
  </si>
  <si>
    <r>
      <rPr>
        <sz val="9"/>
        <color theme="1"/>
        <rFont val="Calibri"/>
        <family val="2"/>
        <charset val="238"/>
        <scheme val="minor"/>
      </rPr>
      <t>Koszty funkcjonowania obejmują:                                       
 1. Wynagrodzenia</t>
    </r>
    <r>
      <rPr>
        <sz val="11"/>
        <color theme="1"/>
        <rFont val="Calibri"/>
        <family val="2"/>
        <charset val="238"/>
        <scheme val="minor"/>
      </rPr>
      <t xml:space="preserve"> pracowników, którzy w ramach zadań SIR:                           - promowali SIR na targach i </t>
    </r>
    <r>
      <rPr>
        <sz val="9"/>
        <color theme="1"/>
        <rFont val="Calibri"/>
        <family val="2"/>
        <charset val="238"/>
        <scheme val="minor"/>
      </rPr>
      <t xml:space="preserve">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3. Dostosowanie biura na potrzeby funcjonowania SIR w siedzibie Ośrodka (remont biura, zakup mebli, sprzętu komputerowego i multimedialnego, zakup materiałów biurowych)                  Rok 2016 koszty związane z planm działania obejmują organizację 5 operacji, koszty funkcjonowania obejmują 1. Wynagrodzenia pracowników, którzy w ramach zadań SIR:                           - promowali SIR na targach i 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t>
    </r>
  </si>
  <si>
    <t>tonery delegacje materiały promocyjne (m.in. roll-up, ścianki wystawiennicze zakupione w ramach PK 2016) podnoszenie kwalifikacji parcowników JR KSOW organizacja spotkań z partnerami KSOW sprzęt informatyczny wynajem pomieszczeń wynagrodzenia pracowników JR KSOW</t>
  </si>
  <si>
    <t xml:space="preserve">Ministerstwo Rolnictwa i Rozwoju Wsi </t>
  </si>
  <si>
    <t>Organizacja 27 jednodniowych szkoleń dot. efektów PROW 2007-2013 oraz PROW 2014-2020, spotkanie informacyjne "Transfer wiedzy i działalność informacyjna PROW 2014-2020", impreza wystawiennicza z udziałem szkół rolniczych prowadoznych przez MRiRW w zakresie promowania PROW 2014-2020, 5 imrez targowych (Siedlce, Bednary, Częstochowa, Spała, Natura Food), spotkanie informacyne dot. PROW w ramach Krajowego Kongeru Rolnictwa RP Konferencja dla kadry zarządzającej ZSCKR z wyjazdem studyjnym, Konferencja dla dyrektorów szkół rolniczych w zakresie działań info-promo PROW, konferencja dot. prezentacji i promocji innowacyjnych rozwiązań technologicznych oraz metod produkcji, szkolenie nt rozpoznawania i monitoringu agrofagów, podsumowanie konkursu na najlepsze czasopismo wydawniczeObszar tematyczny: Promocja zrównoważonego rozwoju obszarów wiejskich (operacja: Organizacja XL oraz XLI Ogólnopolskiego Konkursu Jakości Prac Scaleniowych promującego doświadczenia i najlepsze stosowane praktyki)  Spotkanie dotyczące doświadczeń europejskich we wdrażaniu podejścia Leader i RLKS w dniu 09.06.2016 r. dwa wydarzenia - "Transfer wiedzy i działalność informacyjna" (spotkanie z nauczycielami szkół rolniczych MRiRW oraz spotkanie podczas Sierpeckich Dni Rolnika w Studzieńcu).
Spotkanie podczas Sierpeckich Dni Rolnika w Studzieńcu miało charakter regionalny.
Spotkanie z nauczycielami ze szkół prowadzonych przez MRiRW miało charakter ogólnopolski. 6 wydarzeń:
1) Konferencja dla dyrektorów szkół rolniczych prowadzonych przez MRiRW oraz dyrektora KCER dot. PROW 2014-2020;
2) Olimpiady Wierdzy i Umiejętności dla uczniów szkół ponadgimnazjalnych. (2 olimpiady: Olimpiada Wiedzy o Żźywieniu i Żywności i Olimpiada Wiedzy i Umiętności Rolniczych)
3) projekt o zasięgu międzynarodowym - VIII Miedzynarodowe Targi Turytyki Wiejskiej i Agroturytyki AGROTRAVEL (8-10 kwietnia 2016 r.), w tym Międzynarodowy panel dyskusyjny w ramach Forum Turystyki Wiejskiej i Agroturystyki pt.: Miejsce turystyki wiejskiej w nowoczesnej gospodarce. (zakres tematyczny mieszany)
4) Wizyta studyjna AGROTRIP (priorytet 6 i 8 - Promowanie włączenia społecznego, zmniejszenia ubóstwa oraz rozwoju gospodarczego na obszarach wiejskich
Promowanie efektywnego gospodarowania zasobami i wspieranie przechodzenia w sektorach rolnym, spożywczym i leśnym na gospodarkę niskoemisyjną i odporną na zmianę klimatu.)
5) Stoisko "Odpoczywaj na wsi" (priorytet 6 i 8 - jak wyżej) 1. Konkurs "Sposób na sukces" 2. Konkurs na najlepsze wydawnictwo ODR cztery spotkania łącznie, w tym: (1)  jedno spotkanie dla działania  organizacja spotkań informacyjnych dla kadry kierowniczej instytutów naukowo-badawczych podległych Ministrowi Rolnictwa i Rozwoju Wsi ; (2) trzy spotkania dla działania -Organizacja cyklu wizyt doradców rolniczych w instytutach naukowo-badawczych Targi AgroPark w Lublinie, targi Agrotech w Kielcach, Regionalna Wystawa Zwierząt Hodowlanych w Szepietowie, targi Agrotech w Minikowie, Krajowa Wystawa Rolnicza oraz Dożynki Jasnogórskie w Częstochowie, Dni z Doradztwem Rolniczym w Siedlcach, Dożynki Prezydenckie w Spale, targi AGROSHOW w Bednarach. projekt o zasięgu miedzynarodowym - Targi Grune Woche w Berlinie, projekt o zasięgu miedzynarodowym - Targi BioFach w Norymberdze, Targi Natura Food w Łodzi, Finał V edycji ogólnopolskiego konkursu dla szkół gastronomicznych Krajowy Kongres Rolnictwa Rzeczypospolitej Polskiej1) Upowszechnianie wiedzy w zakresie systemów jakości zywności (konferencja i konkurs)
2) Z pola do Garnka - współpraca rolników ekologicznych w skracaniu łańcucha dostaw (szkolenia, wyjazdy studyjne)
3) Zespół ekspertów na rzecz wymogów ochrony środowiska i zmian klimatu (szkolenia)
4) Kierunek rozwój (konferencja)
5) Ekolider.pl LGD dla zrównoważonego rozwoju. Środowisko, klimat, ekoinnowacje w operacjach RLKS (konkurs 1, szkolenie 10, wyjazd studyjny 3)
6) Wyjazd studyjny do Portugalii w celu wymiany wiedzy z zakresu klęsk żywiołowych ze szczególnym uwzględnieniem suszy
7) Międzynarodowe warsztaty nt. ubustwa i wykluczenia na wsi (szkolenie, wyjazd studyjny)
8) Rolniczy Handel Detalicxzny ważnym elementem zrównoważonego rozwoju obszarów wiejskich (4 konferencje)
9) Zrównoważony rozwój regionu w oparciu o certyfikowane produkty tradycyjne (wyjazd studyjny, konferencja)
10) Puls wsi, czyli partycypacja umacnia lokalną synergię wsi (seminarium-3, konferencja-1)
11) Wyjazd studyjny-od bacówki do fabryki, dobre praktyki (wyjazd studyjny)
12) Sieci współpracy w turystyce wiejskiej - stan obecny i nowe wyzwania (konferencja) 
13) Zwiększenie efektywności doradztwa we wspieraniu innowacyjności w rolnictwie (konferencja)
14) Komercjalizacja działalności LGD formą budowy potencjału organizacyjnego (szkolenie)
15) Gospodarstwa opikuńcze - rozwijanie usług społecznych na obszarach wiejskich (szkolenia 16)
16) Przyróćmy Wisłę mieszkańcom obszarów wiejskich (szkolenie -4, wyjazd studyjny -4)
17) WPR po 2020 r.  (konferencje -4)
18) Upowszechnianie dobrych praktyk w farmerskiej produkcji sera (seminaria-13 dla PLW oraz dla doradców rolniczych, producentów, LGD, przedstawicieli organizacji pozarządowych)
1) 2 Jednodniowe konferencje nt. rezultatów realizacji PROW 2014-2020 z uwzględnieniem doświadczeń z perspektywy 2007-2013 oraz punkt informacyjny/doradczy (DROW)
2) "Transfer wiedzy i działalność informacyjna" (2 spotkania Spotkania podczas Sierpeckich Dni Rolnika w Studzieńcu miały charakter regionalny. Spotkania z nauczycielami ze szkół prowadzonych przez Ministra Rolnictwa i Rozwoju Wsi miały charakter krajowy). (SSO)
3) Organizacja konkursów promujących i informujących o PROW 2014-2020 (konkurs Sposób na sukces oraz na najlepsze wydwnictwo ODR) (SAR)
RR
 Targi AgroPark w Lublinie, Międzynarodowe Targi Techniki Rolniczej AGROTECH w Kielcach, Regionalna Wystawa Zwierząt Hodowlanych w Szepietowie, XXVI Krajowa Wystawa Rolnicza oraz Ogólnopolskie Dożynki Jasnogórskie w Częstochowie, Dożynki Prezydenckie w Spale,  XL Międzynarodowe Targi Rolno-Przemysłowe AGRO-TECH połączone z Regionalną Wystawą Zwierząt Hodowlanych w Minikowie, XXIV Regionalna Wystawa Zwierząt Hodowlanych i Dni z Doradztwem Rolniczym w Szepietowie, Międzynarodowa Wystawy Rolniczej AGRO SHOW w Bednarach, XXIX Międzynarodowe Dni z Doradztwem Rolniczym połączone z XIII Regionalną Wystawą Zwierząt Hodowlanych w Siedlcach.
Seminaria/szkolenia/spotkania/konferencje informacyjne nt.  Systemu Chronionych Nazw Pochodzenia, Chronionych Oznaczeń Geograficznych oraz Gwarantowanych Tradycyjnych Specjalności w celu przedstawienia działań wspierających ten sektor w ramach PROW 2014-2020DGZ
1. Obszar tematyczny: Promocja zrównoważonego rozwoju Obszarów Wiejskich  (operacja: XLI Ogólnopolskiego Konkursu Jakości Prac Scaleniowych promujacego doświadczenia i najlepsze stosowane praktyki)
SSO
1) "Olimpiada Wiedzy i Umiejętności Rolniczych" (zakup nagród rzeczowych dla laureatów);
2) "Olimpiada Wiedzy o Żywieniu i Żywności" (zakup nagród rzeczowych dla laureatów);
3)  Cykl konferencji dla dyrektorów szkół rolniczych prowadzonych przez Ministra Rolnictwa i Rozwoju Wsi dot. RPOW 2014-2020 ( 2 konferencje)
4) 8 seminariów pod nazwą: Integracja środowiska turystyki wiejskiej i agroturystyki z przedstawicielami branży turystycznej (priotytet 5 i 6);
5) organizacja stoiska "Odpoczywaj na wsi" na 8 imprezach targowo-plenerowych (priotytet 5 i 6)
6) organizacja stoiska "Odpoczywaj na wsi" na targach ITB w Berlinie  (piorytet 6 z naciskiem na promowanie rozwoju gospodarczego na obszarach wiejskich)
7) Liderki społeczności wiejskiej w procesach rozwoju lokalnego - (40 jednodniowych szkoleń)
SAR
1) 1 seminarium dla kadry zarządzajacej instytutów badawczych i jednostek doradztwa rolniczego, 
2) 2 wizyty doradców rolniczych w instytutach naukowo-badawczych, 
3) 2 spotkania informacyjne dla kadry zarządzajacej jednostkami doradztwa rolniczego
RR
4 wydarzenia: 
- Targi Grune Woche w Berlinie;
- Targi BioFch w Norymberdze;
-Targi Natura Food w Łodzi;
- Finał VI edycji ogólnopolskiego konkursu dla szkół gastronomicznych
Obszar tematyczny : Seminarium podsumowujące ZXL Ogólnopolski Konkurs Jakości Prac Scaleniowych</t>
  </si>
  <si>
    <t>Jednostka Centralna</t>
  </si>
  <si>
    <t xml:space="preserve">turystyka wiejska oraz edukacja w gospodarstwie rolnym - rozwoj sieci zagród edukacyjnych; prawne aspekty funkcjonowania samorządu terytorialnego, działaność wiejskich organizacji kobiecych. </t>
  </si>
  <si>
    <t>aplikacja - Agroturystyka wieś polska zaprasza; www.ksow.pl</t>
  </si>
  <si>
    <t>20 z CDR Kraków, 20 z CIE, 5 JC</t>
  </si>
  <si>
    <t>2 GR.  ds. KSOW, 3 GTL, 1 GTI, tryb obiegowy GR ds. KSOW 2X 26.07.2017, 2X 29.09.2017, GTL 6.03.2017, 20.06.2017; 18.12.2017, GTI 18.12.2017</t>
  </si>
  <si>
    <t>Zespól roboczy ds.proceduralnych przy GTL, spotkanie zespołu roboczego ds. KSOW 5.07.2017 w sprawie Planu działania KSOW 2014-2020</t>
  </si>
  <si>
    <t>grupa dyskusyjna LGD na Facebooku</t>
  </si>
  <si>
    <t>informacje: Rural efficiency in the Polish RDP, dobre praktyki: 1.Szkolenie na temat małej retencji-WODR woj.łodzkie, 2.Wymiana doświadczeń na temat higieny i bezpieczeństwa żywności w przetwórstwie żywności na małą skalę-JR KSOW woj podlaskiego, 3.Wykorzystanie Pomocy Technicznej do organizacji wyjazdu studyjnego do Szkocji w dziedzinie rolnictwa ekologicznego-JR KSOW woj.Slaskiego, 4.Stworzenie marki kulinarnej i kulturalnej Doliny Wisły-Tłok, 5.Promocja tradycyjnych produktów żywnosciowych na Mazowszu-LGD Razem dla Radomki, 6.My place-Centrum Inicjatyw Edukacyjnych, 7.projekt SEMPRE-Fundacja PERITIA, 8.GTL., 9.Muzeum ksiązki kucharskiej i kulinarnej-LGD Dolina Raby, 10. Inkubator kuchenny w Zakrzowie, Inne: 1.ankieta ENRD disseminarion survey 2017, 2.uaktualnienie zadań FAPA i SIR oraz profilu sieci, 3.ankieta approaches to regionalised networking, 4.WSŚ, 5. survey on NRN's support to RDP evaluation, 6.Rural Networks' self-assessment questionnaire</t>
  </si>
  <si>
    <r>
      <t>Przetłumaczone:, deklaracja ELARD i nota prasowa ELARD, relacja z Social Hubs, relacja z seminarium 30.03.2017, informacja o seminarium 13.06.2017, 3 relacje z seminarium 13.06.2017, relacja ze spotkania GT 3-5.05.2017, info z Walnego Zebrania ELARD, relacja z Parlamentu Wiejskiego Vernhorst, relacja ze spotkania GT Smart Villages 7.12.2017. upowszechnione: 1 dobra praktyka LGD Razem dla Radomki opublikowana na facebooku, Cork; EIP-AGRI W czym możemy pomóc?, EIP-AGRI -2 publikacje,  krótkie łańcuchy dostaw żywności EIP-AGRI, poszukiwanie ekspertów do grup fokusowych EIP-AGRI, EU Action for Smart Villages, oczekiwane rezultaty PROW w UE, Inicjatywa na rzecz poprawy funkcjonowania łańcucha dostaw zywnosci, Wyniki konsultacji publicznych w sprawie modernizacji i uproszczenia WPR, magazyn Rural Connections, Rural Evaluations News, 2 broszury ENRD o przykładowych projektach (przedsiębiorczość i ekologia), 2 Przeglądy Obszarów Wiejskich (Przedsiebiorczośc na wsi i Gospodarka Ekologiczna), Pathways to LEADER, Evaluation of LEADER/CLLD, Debate on the future of agriculture, 12 ENRD Newsletter.</t>
    </r>
    <r>
      <rPr>
        <sz val="10"/>
        <color rgb="FFFF0000"/>
        <rFont val="Calibri"/>
        <family val="2"/>
        <charset val="238"/>
        <scheme val="minor"/>
      </rPr>
      <t xml:space="preserve"> </t>
    </r>
  </si>
  <si>
    <t>5 ofert z Polski wizyt studyjnych dla estonskich LGD, 4 oferty wspolpracy z Polski, 1 oferta z Estonii, 1 oferta z Litwy, 4 oferty z Łotwy, 3 oferty z Finlandii, dla Chorwackiej sieci LEADER, dla Rumuńskiej sieci, dla Wegierskiej Sieci, dla Stowarzyszenia LEADER France, 13 ofert LGD na spotkanie w Paryżu; ankieta z Hiszpani dot. turystyki wiejskiej LGD, oferta z LGD z Polski podczas LINC, dla Estońskiej sieci 2 oferty LGD z Polski (producent cydru, Stowarzyszenie Korona Północnego Krakowa),  8 ofert z Polski prezentowanych na Litwie,  propozycja współpracy z tureckim LGD, projekt współpracy z Polski prezentowany na Litwie, LEADERFEST w Czechach z udziałem 9 LGD z Polski, Walne zebranie ELARD, spotkanie nordycko-bałtyckiej sieci w Wilnie 15.09.2017, konkurs na najlepsze praktyki w ramach nordycko-bałtyckiej wspólpracy, spotkanie w Paryżu dla LGD, udział 1 osoby w wyjezdzie studyjnym na Węgrzech, udział 2 osob w wizycie studyjnej na Litwie</t>
  </si>
  <si>
    <t>wynagrodzenia z pochodnymi, materiały, usługi obce, wartości niematerialne i prawne, koszty bezpośrednie, współpraca z ENRD</t>
  </si>
  <si>
    <t>Zestawienie zbiorcze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</si>
</sst>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zł&quot;#,##0.00_);[Red]\(&quot;zł&quot;#,##0.00\)"/>
    <numFmt numFmtId="165" formatCode="_(&quot;zł&quot;* #,##0.00_);_(&quot;zł&quot;* \(#,##0.00\);_(&quot;zł&quot;* &quot;-&quot;??_);_(@_)"/>
    <numFmt numFmtId="166" formatCode="_(* #,##0.00_);_(* \(#,##0.00\);_(* &quot;-&quot;??_);_(@_)"/>
    <numFmt numFmtId="167" formatCode="[$-415]General"/>
    <numFmt numFmtId="168" formatCode="#,##0.00\ _z_ł"/>
  </numFmts>
  <fonts count="183">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24"/>
      <color indexed="8"/>
      <name val="Calibri"/>
      <family val="2"/>
    </font>
    <font>
      <b/>
      <u/>
      <sz val="14"/>
      <color indexed="8"/>
      <name val="Calibri"/>
      <family val="2"/>
      <charset val="238"/>
    </font>
    <font>
      <sz val="12"/>
      <color indexed="8"/>
      <name val="Calibri"/>
      <family val="2"/>
      <charset val="238"/>
    </font>
    <font>
      <b/>
      <u/>
      <sz val="12"/>
      <color indexed="8"/>
      <name val="Calibri"/>
      <family val="2"/>
      <charset val="238"/>
    </font>
    <font>
      <sz val="12"/>
      <color indexed="8"/>
      <name val="Calibri"/>
      <family val="2"/>
    </font>
    <font>
      <i/>
      <sz val="12"/>
      <color indexed="8"/>
      <name val="Calibri"/>
      <family val="2"/>
      <charset val="238"/>
    </font>
    <font>
      <b/>
      <sz val="12"/>
      <color indexed="8"/>
      <name val="Calibri"/>
      <family val="2"/>
    </font>
    <font>
      <b/>
      <sz val="16"/>
      <color indexed="8"/>
      <name val="Calibri"/>
      <family val="2"/>
    </font>
    <font>
      <b/>
      <sz val="14"/>
      <color indexed="8"/>
      <name val="Calibri"/>
      <family val="2"/>
    </font>
    <font>
      <b/>
      <sz val="11"/>
      <color indexed="8"/>
      <name val="Calibri"/>
      <family val="2"/>
    </font>
    <font>
      <b/>
      <sz val="11"/>
      <color indexed="8"/>
      <name val="Calibri"/>
      <family val="2"/>
      <charset val="238"/>
    </font>
    <font>
      <sz val="10"/>
      <color indexed="8"/>
      <name val="Calibri"/>
      <family val="2"/>
    </font>
    <font>
      <b/>
      <sz val="10"/>
      <color indexed="8"/>
      <name val="Calibri"/>
      <family val="2"/>
    </font>
    <font>
      <i/>
      <sz val="10"/>
      <color indexed="8"/>
      <name val="Calibri"/>
      <family val="2"/>
      <charset val="238"/>
    </font>
    <font>
      <sz val="10"/>
      <color indexed="8"/>
      <name val="Calibri"/>
      <family val="2"/>
      <charset val="238"/>
    </font>
    <font>
      <b/>
      <sz val="10"/>
      <color indexed="18"/>
      <name val="Calibri"/>
      <family val="2"/>
      <charset val="238"/>
    </font>
    <font>
      <u/>
      <sz val="10"/>
      <color indexed="8"/>
      <name val="Calibri"/>
      <family val="2"/>
      <charset val="238"/>
    </font>
    <font>
      <sz val="10"/>
      <name val="Calibri"/>
      <family val="2"/>
      <charset val="238"/>
    </font>
    <font>
      <u/>
      <sz val="10"/>
      <name val="Calibri"/>
      <family val="2"/>
      <charset val="238"/>
    </font>
    <font>
      <b/>
      <sz val="10"/>
      <name val="Calibri"/>
      <family val="2"/>
      <charset val="238"/>
    </font>
    <font>
      <b/>
      <sz val="14"/>
      <color indexed="8"/>
      <name val="Calibri"/>
      <family val="2"/>
      <charset val="238"/>
    </font>
    <font>
      <b/>
      <sz val="10"/>
      <color indexed="60"/>
      <name val="Calibri"/>
      <family val="2"/>
      <charset val="238"/>
    </font>
    <font>
      <sz val="11"/>
      <color indexed="8"/>
      <name val="Calibri"/>
      <family val="2"/>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charset val="238"/>
      <scheme val="minor"/>
    </font>
    <font>
      <sz val="10"/>
      <color theme="1"/>
      <name val="Calibri"/>
      <family val="2"/>
      <charset val="238"/>
      <scheme val="minor"/>
    </font>
    <font>
      <u/>
      <sz val="10"/>
      <color indexed="8"/>
      <name val="Calibri"/>
      <family val="2"/>
    </font>
    <font>
      <sz val="11"/>
      <color rgb="FF000000"/>
      <name val="Calibri"/>
      <family val="2"/>
      <scheme val="minor"/>
    </font>
    <font>
      <b/>
      <sz val="11"/>
      <color theme="1"/>
      <name val="Calibri"/>
      <family val="2"/>
      <scheme val="minor"/>
    </font>
    <font>
      <sz val="16"/>
      <color indexed="8"/>
      <name val="Calibri"/>
      <family val="2"/>
    </font>
    <font>
      <b/>
      <sz val="12"/>
      <color indexed="8"/>
      <name val="Calibri"/>
      <family val="2"/>
      <charset val="238"/>
    </font>
    <font>
      <b/>
      <sz val="10"/>
      <color indexed="8"/>
      <name val="Calibri"/>
      <family val="2"/>
      <charset val="238"/>
    </font>
    <font>
      <sz val="10"/>
      <color indexed="11"/>
      <name val="Calibri"/>
      <family val="2"/>
      <charset val="238"/>
    </font>
    <font>
      <sz val="9"/>
      <color theme="1"/>
      <name val="Calibri"/>
      <family val="2"/>
      <scheme val="minor"/>
    </font>
    <font>
      <b/>
      <sz val="10"/>
      <color indexed="28"/>
      <name val="Calibri"/>
      <family val="2"/>
      <charset val="238"/>
    </font>
    <font>
      <b/>
      <sz val="16"/>
      <color theme="1"/>
      <name val="Calibri"/>
      <family val="2"/>
      <scheme val="minor"/>
    </font>
    <font>
      <b/>
      <sz val="10"/>
      <color indexed="54"/>
      <name val="Calibri"/>
      <family val="2"/>
      <charset val="238"/>
    </font>
    <font>
      <b/>
      <sz val="10"/>
      <color indexed="17"/>
      <name val="Calibri"/>
      <family val="2"/>
      <charset val="238"/>
    </font>
    <font>
      <sz val="10"/>
      <color indexed="28"/>
      <name val="Calibri"/>
      <family val="2"/>
      <charset val="238"/>
    </font>
    <font>
      <u/>
      <sz val="10"/>
      <color indexed="28"/>
      <name val="Calibri"/>
      <family val="2"/>
      <charset val="238"/>
    </font>
    <font>
      <b/>
      <sz val="14"/>
      <color theme="1"/>
      <name val="Calibri"/>
      <family val="2"/>
      <charset val="238"/>
      <scheme val="minor"/>
    </font>
    <font>
      <b/>
      <sz val="10"/>
      <color indexed="49"/>
      <name val="Calibri"/>
      <family val="2"/>
    </font>
    <font>
      <sz val="10"/>
      <color indexed="49"/>
      <name val="Calibri"/>
      <family val="2"/>
    </font>
    <font>
      <b/>
      <sz val="10"/>
      <color indexed="53"/>
      <name val="Calibri"/>
      <family val="2"/>
    </font>
    <font>
      <sz val="10"/>
      <color indexed="53"/>
      <name val="Calibri"/>
      <family val="2"/>
    </font>
    <font>
      <b/>
      <sz val="22"/>
      <color indexed="8"/>
      <name val="Calibri"/>
      <family val="2"/>
    </font>
    <font>
      <sz val="22"/>
      <color theme="1"/>
      <name val="Calibri"/>
      <family val="2"/>
      <scheme val="minor"/>
    </font>
    <font>
      <sz val="10"/>
      <color theme="1"/>
      <name val="Calibri"/>
      <family val="2"/>
      <charset val="238"/>
    </font>
    <font>
      <b/>
      <sz val="10"/>
      <color theme="1"/>
      <name val="Calibri"/>
      <family val="2"/>
      <charset val="238"/>
    </font>
    <font>
      <sz val="11"/>
      <name val="Calibri"/>
      <family val="2"/>
      <scheme val="minor"/>
    </font>
    <font>
      <sz val="11"/>
      <color rgb="FFFF0000"/>
      <name val="Calibri"/>
      <family val="2"/>
      <scheme val="minor"/>
    </font>
    <font>
      <sz val="11"/>
      <color theme="1"/>
      <name val="Calibri"/>
      <family val="2"/>
      <scheme val="minor"/>
    </font>
    <font>
      <b/>
      <sz val="14"/>
      <color theme="1"/>
      <name val="Calibri"/>
      <family val="2"/>
    </font>
    <font>
      <sz val="10"/>
      <color theme="1"/>
      <name val="Calibri"/>
      <family val="2"/>
    </font>
    <font>
      <sz val="11"/>
      <color theme="1"/>
      <name val="Calibri"/>
      <family val="2"/>
    </font>
    <font>
      <b/>
      <sz val="11"/>
      <color theme="1"/>
      <name val="Calibri"/>
      <family val="2"/>
    </font>
    <font>
      <b/>
      <sz val="10"/>
      <color theme="1"/>
      <name val="Calibri"/>
      <family val="2"/>
      <charset val="238"/>
      <scheme val="minor"/>
    </font>
    <font>
      <sz val="11"/>
      <color theme="1"/>
      <name val="Calibri"/>
      <family val="2"/>
      <charset val="238"/>
    </font>
    <font>
      <b/>
      <sz val="11"/>
      <color theme="1"/>
      <name val="Calibri"/>
      <family val="2"/>
      <charset val="238"/>
    </font>
    <font>
      <sz val="11"/>
      <name val="Calibri"/>
      <family val="2"/>
      <charset val="238"/>
      <scheme val="minor"/>
    </font>
    <font>
      <b/>
      <sz val="12"/>
      <color theme="1"/>
      <name val="Calibri"/>
      <family val="2"/>
      <charset val="238"/>
      <scheme val="minor"/>
    </font>
    <font>
      <sz val="11"/>
      <name val="Calibri"/>
      <family val="2"/>
    </font>
    <font>
      <b/>
      <sz val="11"/>
      <name val="Calibri"/>
      <family val="2"/>
    </font>
    <font>
      <sz val="10"/>
      <name val="Calibri Light"/>
      <family val="1"/>
      <charset val="238"/>
      <scheme val="major"/>
    </font>
    <font>
      <sz val="10"/>
      <name val="Cambria"/>
      <family val="1"/>
      <charset val="238"/>
    </font>
    <font>
      <b/>
      <sz val="9"/>
      <color indexed="81"/>
      <name val="Tahoma"/>
      <family val="2"/>
      <charset val="238"/>
    </font>
    <font>
      <sz val="9"/>
      <color indexed="81"/>
      <name val="Tahoma"/>
      <family val="2"/>
      <charset val="238"/>
    </font>
    <font>
      <sz val="11"/>
      <color rgb="FF000000"/>
      <name val="Calibri"/>
      <family val="2"/>
      <charset val="238"/>
      <scheme val="minor"/>
    </font>
    <font>
      <sz val="10"/>
      <color rgb="FFFF0000"/>
      <name val="Calibri"/>
      <family val="2"/>
      <charset val="238"/>
    </font>
    <font>
      <sz val="11"/>
      <color theme="1" tint="4.9989318521683403E-2"/>
      <name val="Calibri"/>
      <family val="2"/>
      <scheme val="minor"/>
    </font>
    <font>
      <b/>
      <sz val="12"/>
      <color theme="1"/>
      <name val="Calibri"/>
      <family val="2"/>
    </font>
    <font>
      <b/>
      <u/>
      <sz val="11"/>
      <color theme="1"/>
      <name val="Calibri"/>
      <family val="2"/>
      <charset val="238"/>
      <scheme val="minor"/>
    </font>
    <font>
      <u/>
      <sz val="11"/>
      <color theme="1"/>
      <name val="Calibri"/>
      <family val="2"/>
      <charset val="238"/>
      <scheme val="minor"/>
    </font>
    <font>
      <b/>
      <i/>
      <u/>
      <sz val="11"/>
      <color theme="1"/>
      <name val="Calibri"/>
      <family val="2"/>
      <charset val="238"/>
      <scheme val="minor"/>
    </font>
    <font>
      <sz val="8"/>
      <color theme="1"/>
      <name val="Calibri"/>
      <family val="2"/>
      <charset val="238"/>
      <scheme val="minor"/>
    </font>
    <font>
      <b/>
      <u/>
      <sz val="8"/>
      <color theme="1"/>
      <name val="Calibri"/>
      <family val="2"/>
      <charset val="238"/>
      <scheme val="minor"/>
    </font>
    <font>
      <b/>
      <sz val="8"/>
      <color theme="1"/>
      <name val="Calibri"/>
      <family val="2"/>
      <charset val="238"/>
      <scheme val="minor"/>
    </font>
    <font>
      <sz val="8"/>
      <color theme="1"/>
      <name val="Calibri"/>
      <family val="2"/>
      <scheme val="minor"/>
    </font>
    <font>
      <sz val="10"/>
      <name val="Calibri"/>
      <family val="2"/>
      <charset val="238"/>
      <scheme val="minor"/>
    </font>
    <font>
      <b/>
      <sz val="10"/>
      <name val="Calibri"/>
      <family val="2"/>
      <charset val="238"/>
      <scheme val="minor"/>
    </font>
    <font>
      <u/>
      <sz val="10"/>
      <color theme="1"/>
      <name val="Calibri"/>
      <family val="2"/>
      <charset val="238"/>
      <scheme val="minor"/>
    </font>
    <font>
      <b/>
      <sz val="12"/>
      <color indexed="8"/>
      <name val="Arial"/>
      <family val="2"/>
      <charset val="238"/>
    </font>
    <font>
      <sz val="12"/>
      <color theme="1"/>
      <name val="Arial"/>
      <family val="2"/>
      <charset val="238"/>
    </font>
    <font>
      <b/>
      <u/>
      <sz val="12"/>
      <color indexed="8"/>
      <name val="Arial"/>
      <family val="2"/>
      <charset val="238"/>
    </font>
    <font>
      <sz val="12"/>
      <color indexed="8"/>
      <name val="Arial"/>
      <family val="2"/>
      <charset val="238"/>
    </font>
    <font>
      <i/>
      <sz val="12"/>
      <color indexed="8"/>
      <name val="Arial"/>
      <family val="2"/>
      <charset val="238"/>
    </font>
    <font>
      <sz val="12"/>
      <color rgb="FFFF0000"/>
      <name val="Arial"/>
      <family val="2"/>
      <charset val="238"/>
    </font>
    <font>
      <sz val="12"/>
      <name val="Arial"/>
      <family val="2"/>
      <charset val="238"/>
    </font>
    <font>
      <b/>
      <sz val="12"/>
      <color theme="1"/>
      <name val="Arial"/>
      <family val="2"/>
      <charset val="238"/>
    </font>
    <font>
      <i/>
      <sz val="12"/>
      <color theme="1"/>
      <name val="Arial"/>
      <family val="2"/>
      <charset val="238"/>
    </font>
    <font>
      <sz val="12"/>
      <color rgb="FF000000"/>
      <name val="Arial"/>
      <family val="2"/>
      <charset val="238"/>
    </font>
    <font>
      <sz val="12"/>
      <color indexed="11"/>
      <name val="Arial"/>
      <family val="2"/>
      <charset val="238"/>
    </font>
    <font>
      <b/>
      <u/>
      <sz val="10"/>
      <name val="Calibri"/>
      <family val="2"/>
      <charset val="238"/>
    </font>
    <font>
      <b/>
      <u/>
      <sz val="10"/>
      <name val="Calibri"/>
      <family val="2"/>
      <charset val="238"/>
      <scheme val="minor"/>
    </font>
    <font>
      <sz val="10"/>
      <color rgb="FFFF0000"/>
      <name val="Calibri"/>
      <family val="2"/>
      <charset val="238"/>
      <scheme val="minor"/>
    </font>
    <font>
      <b/>
      <sz val="10"/>
      <color rgb="FFFF0000"/>
      <name val="Calibri"/>
      <family val="2"/>
      <charset val="238"/>
      <scheme val="minor"/>
    </font>
    <font>
      <b/>
      <sz val="11"/>
      <name val="Calibri"/>
      <family val="2"/>
      <charset val="238"/>
      <scheme val="minor"/>
    </font>
    <font>
      <b/>
      <sz val="11"/>
      <name val="Calibri"/>
      <family val="2"/>
      <charset val="238"/>
    </font>
    <font>
      <sz val="11"/>
      <name val="Calibri"/>
      <family val="2"/>
      <charset val="238"/>
    </font>
    <font>
      <b/>
      <sz val="14"/>
      <name val="Calibri"/>
      <family val="2"/>
    </font>
    <font>
      <sz val="10"/>
      <name val="Calibri"/>
      <family val="2"/>
    </font>
    <font>
      <b/>
      <sz val="10"/>
      <name val="Calibri"/>
      <family val="2"/>
    </font>
    <font>
      <i/>
      <sz val="10"/>
      <name val="Calibri"/>
      <family val="2"/>
    </font>
    <font>
      <b/>
      <sz val="11"/>
      <name val="Calibri"/>
      <family val="2"/>
      <scheme val="minor"/>
    </font>
    <font>
      <sz val="10"/>
      <color rgb="FFFF0000"/>
      <name val="Calibri"/>
      <family val="2"/>
    </font>
    <font>
      <b/>
      <sz val="16"/>
      <name val="Calibri"/>
      <family val="2"/>
    </font>
    <font>
      <b/>
      <sz val="14"/>
      <name val="Calibri"/>
      <family val="2"/>
      <scheme val="minor"/>
    </font>
    <font>
      <b/>
      <sz val="10"/>
      <name val="Calibri"/>
      <family val="2"/>
      <scheme val="minor"/>
    </font>
    <font>
      <sz val="10"/>
      <name val="Calibri"/>
      <family val="2"/>
      <scheme val="minor"/>
    </font>
    <font>
      <i/>
      <sz val="10"/>
      <name val="Calibri"/>
      <family val="2"/>
      <scheme val="minor"/>
    </font>
    <font>
      <sz val="8"/>
      <name val="Calibri"/>
      <family val="2"/>
    </font>
    <font>
      <sz val="24"/>
      <color rgb="FFFF0000"/>
      <name val="Calibri"/>
      <family val="2"/>
      <charset val="238"/>
    </font>
    <font>
      <b/>
      <sz val="12"/>
      <name val="Calibri"/>
      <family val="2"/>
    </font>
    <font>
      <sz val="12"/>
      <name val="Calibri"/>
      <family val="2"/>
    </font>
    <font>
      <sz val="9"/>
      <name val="Calibri"/>
      <family val="2"/>
      <scheme val="minor"/>
    </font>
    <font>
      <i/>
      <sz val="11"/>
      <name val="Calibri"/>
      <family val="2"/>
      <scheme val="minor"/>
    </font>
    <font>
      <b/>
      <sz val="14"/>
      <name val="Calibri"/>
      <family val="2"/>
      <charset val="238"/>
      <scheme val="minor"/>
    </font>
    <font>
      <b/>
      <sz val="12"/>
      <name val="Calibri"/>
      <family val="2"/>
      <charset val="238"/>
      <scheme val="minor"/>
    </font>
    <font>
      <sz val="8"/>
      <name val="Calibri"/>
      <family val="2"/>
      <scheme val="minor"/>
    </font>
    <font>
      <sz val="11"/>
      <color rgb="FF000000"/>
      <name val="Calibri1"/>
      <charset val="238"/>
    </font>
    <font>
      <b/>
      <sz val="22"/>
      <color rgb="FF000000"/>
      <name val="Calibri"/>
      <family val="2"/>
      <charset val="238"/>
    </font>
    <font>
      <b/>
      <sz val="24"/>
      <color rgb="FF000000"/>
      <name val="Calibri"/>
      <family val="2"/>
      <charset val="238"/>
    </font>
    <font>
      <b/>
      <u/>
      <sz val="14"/>
      <color rgb="FF000000"/>
      <name val="Calibri"/>
      <family val="2"/>
      <charset val="238"/>
    </font>
    <font>
      <sz val="12"/>
      <color rgb="FF000000"/>
      <name val="Calibri"/>
      <family val="2"/>
      <charset val="238"/>
    </font>
    <font>
      <b/>
      <u/>
      <sz val="12"/>
      <color rgb="FF000000"/>
      <name val="Calibri"/>
      <family val="2"/>
      <charset val="238"/>
    </font>
    <font>
      <i/>
      <sz val="12"/>
      <color rgb="FF000000"/>
      <name val="Calibri"/>
      <family val="2"/>
      <charset val="238"/>
    </font>
    <font>
      <b/>
      <sz val="12"/>
      <color rgb="FF000000"/>
      <name val="Calibri"/>
      <family val="2"/>
      <charset val="238"/>
    </font>
    <font>
      <b/>
      <sz val="16"/>
      <color rgb="FF000000"/>
      <name val="Calibri"/>
      <family val="2"/>
      <charset val="238"/>
    </font>
    <font>
      <b/>
      <sz val="14"/>
      <color rgb="FF000000"/>
      <name val="Calibri"/>
      <family val="2"/>
      <charset val="238"/>
    </font>
    <font>
      <b/>
      <sz val="11"/>
      <color rgb="FF000000"/>
      <name val="Calibri"/>
      <family val="2"/>
      <charset val="238"/>
    </font>
    <font>
      <sz val="10"/>
      <color rgb="FF000000"/>
      <name val="Calibri"/>
      <family val="2"/>
      <charset val="238"/>
    </font>
    <font>
      <b/>
      <sz val="10"/>
      <color rgb="FF000000"/>
      <name val="Calibri"/>
      <family val="2"/>
      <charset val="238"/>
    </font>
    <font>
      <i/>
      <sz val="10"/>
      <color rgb="FF000000"/>
      <name val="Calibri"/>
      <family val="2"/>
      <charset val="238"/>
    </font>
    <font>
      <u/>
      <sz val="10"/>
      <color rgb="FF000000"/>
      <name val="Calibri"/>
      <family val="2"/>
      <charset val="238"/>
    </font>
    <font>
      <sz val="11"/>
      <color rgb="FF000000"/>
      <name val="Calibri"/>
      <family val="2"/>
      <charset val="238"/>
    </font>
    <font>
      <sz val="11"/>
      <name val="Calibri1"/>
      <charset val="238"/>
    </font>
    <font>
      <sz val="16"/>
      <color rgb="FF000000"/>
      <name val="Calibri"/>
      <family val="2"/>
      <charset val="238"/>
    </font>
    <font>
      <i/>
      <sz val="10"/>
      <name val="Calibri"/>
      <family val="2"/>
      <charset val="238"/>
    </font>
    <font>
      <i/>
      <u/>
      <sz val="10"/>
      <name val="Calibri"/>
      <family val="2"/>
      <charset val="238"/>
    </font>
    <font>
      <sz val="9"/>
      <color rgb="FF000000"/>
      <name val="Calibri"/>
      <family val="2"/>
      <charset val="238"/>
    </font>
    <font>
      <u/>
      <sz val="10"/>
      <color rgb="FFFF0000"/>
      <name val="Calibri"/>
      <family val="2"/>
      <charset val="238"/>
    </font>
    <font>
      <u/>
      <sz val="11"/>
      <name val="Calibri"/>
      <family val="2"/>
      <charset val="238"/>
      <scheme val="minor"/>
    </font>
    <font>
      <u/>
      <sz val="10"/>
      <color theme="1"/>
      <name val="Calibri"/>
      <family val="2"/>
      <charset val="238"/>
    </font>
    <font>
      <i/>
      <sz val="10"/>
      <color theme="1"/>
      <name val="Calibri"/>
      <family val="2"/>
      <charset val="238"/>
    </font>
    <font>
      <sz val="9"/>
      <name val="Calibri1"/>
      <charset val="238"/>
    </font>
    <font>
      <u/>
      <sz val="9"/>
      <name val="Calibri1"/>
      <charset val="238"/>
    </font>
    <font>
      <sz val="9"/>
      <color rgb="FFFF0000"/>
      <name val="Calibri1"/>
      <charset val="238"/>
    </font>
    <font>
      <sz val="9"/>
      <color rgb="FF000000"/>
      <name val="Calibri1"/>
      <charset val="238"/>
    </font>
    <font>
      <b/>
      <sz val="11"/>
      <color rgb="FFFF0000"/>
      <name val="Calibri"/>
      <family val="2"/>
      <charset val="238"/>
    </font>
    <font>
      <sz val="11"/>
      <color rgb="FFFF0000"/>
      <name val="Calibri"/>
      <family val="2"/>
    </font>
    <font>
      <sz val="15"/>
      <color theme="1"/>
      <name val="Calibri"/>
      <family val="2"/>
      <charset val="238"/>
      <scheme val="minor"/>
    </font>
    <font>
      <b/>
      <sz val="15"/>
      <color theme="1"/>
      <name val="Calibri"/>
      <family val="2"/>
      <charset val="238"/>
      <scheme val="minor"/>
    </font>
    <font>
      <b/>
      <sz val="10"/>
      <color rgb="FFFF0000"/>
      <name val="Calibri"/>
      <family val="2"/>
      <charset val="238"/>
    </font>
    <font>
      <sz val="10"/>
      <color rgb="FFC00000"/>
      <name val="Calibri"/>
      <family val="2"/>
      <charset val="238"/>
      <scheme val="minor"/>
    </font>
    <font>
      <sz val="11"/>
      <color indexed="8"/>
      <name val="Calibri"/>
      <family val="2"/>
      <charset val="238"/>
    </font>
    <font>
      <b/>
      <sz val="11"/>
      <color rgb="FFFF0000"/>
      <name val="Calibri"/>
      <family val="2"/>
      <charset val="238"/>
      <scheme val="minor"/>
    </font>
    <font>
      <i/>
      <sz val="12"/>
      <color indexed="8"/>
      <name val="Calibri"/>
      <family val="2"/>
    </font>
    <font>
      <i/>
      <sz val="11"/>
      <color theme="1"/>
      <name val="Calibri"/>
      <family val="2"/>
      <scheme val="minor"/>
    </font>
    <font>
      <u/>
      <sz val="12"/>
      <color theme="1"/>
      <name val="Calibri"/>
      <family val="2"/>
      <charset val="238"/>
      <scheme val="minor"/>
    </font>
    <font>
      <b/>
      <u/>
      <sz val="12"/>
      <color theme="1"/>
      <name val="Calibri"/>
      <family val="2"/>
      <charset val="238"/>
      <scheme val="minor"/>
    </font>
    <font>
      <b/>
      <i/>
      <sz val="10"/>
      <color theme="1"/>
      <name val="Calibri"/>
      <family val="2"/>
      <charset val="238"/>
      <scheme val="minor"/>
    </font>
    <font>
      <b/>
      <sz val="14"/>
      <name val="Calibri"/>
      <family val="2"/>
      <charset val="238"/>
    </font>
    <font>
      <sz val="14"/>
      <color theme="1"/>
      <name val="Calibri"/>
      <family val="2"/>
      <charset val="238"/>
      <scheme val="minor"/>
    </font>
    <font>
      <sz val="12"/>
      <color theme="1"/>
      <name val="Calibri"/>
      <family val="2"/>
      <charset val="238"/>
      <scheme val="minor"/>
    </font>
    <font>
      <sz val="22"/>
      <color indexed="8"/>
      <name val="Calibri"/>
      <family val="2"/>
      <charset val="238"/>
    </font>
    <font>
      <sz val="22"/>
      <color theme="1"/>
      <name val="Calibri"/>
      <family val="2"/>
      <charset val="238"/>
      <scheme val="minor"/>
    </font>
    <font>
      <sz val="36"/>
      <color theme="1"/>
      <name val="Calibri"/>
      <family val="2"/>
      <charset val="238"/>
      <scheme val="minor"/>
    </font>
    <font>
      <sz val="36"/>
      <color indexed="8"/>
      <name val="Calibri"/>
      <family val="2"/>
      <charset val="238"/>
    </font>
    <font>
      <sz val="36"/>
      <color theme="1"/>
      <name val="Calibri"/>
      <family val="2"/>
      <charset val="238"/>
    </font>
    <font>
      <sz val="28"/>
      <color theme="1"/>
      <name val="Calibri"/>
      <family val="2"/>
      <charset val="238"/>
      <scheme val="minor"/>
    </font>
    <font>
      <sz val="36"/>
      <color theme="1"/>
      <name val="Calibri"/>
      <family val="2"/>
      <scheme val="minor"/>
    </font>
    <font>
      <b/>
      <sz val="36"/>
      <color indexed="8"/>
      <name val="Calibri"/>
      <family val="2"/>
    </font>
    <font>
      <sz val="36"/>
      <color indexed="8"/>
      <name val="Calibri"/>
      <family val="2"/>
    </font>
    <font>
      <b/>
      <sz val="14"/>
      <color rgb="FFFF0000"/>
      <name val="Calibri"/>
      <family val="2"/>
      <charset val="238"/>
      <scheme val="minor"/>
    </font>
    <font>
      <u/>
      <sz val="11"/>
      <color theme="10"/>
      <name val="Calibri"/>
      <family val="2"/>
      <charset val="238"/>
      <scheme val="minor"/>
    </font>
    <font>
      <sz val="16"/>
      <color theme="1"/>
      <name val="Calibri"/>
      <family val="2"/>
      <scheme val="minor"/>
    </font>
    <font>
      <sz val="9"/>
      <color theme="1"/>
      <name val="Calibri"/>
      <family val="2"/>
      <charset val="238"/>
      <scheme val="minor"/>
    </font>
  </fonts>
  <fills count="3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2" tint="-9.9978637043366805E-2"/>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46"/>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FF"/>
        <bgColor rgb="FFFFFFFF"/>
      </patternFill>
    </fill>
    <fill>
      <patternFill patternType="solid">
        <fgColor rgb="FF99CCFF"/>
        <bgColor rgb="FF99CCFF"/>
      </patternFill>
    </fill>
    <fill>
      <patternFill patternType="solid">
        <fgColor rgb="FFDDD9C3"/>
        <bgColor rgb="FFDDD9C3"/>
      </patternFill>
    </fill>
    <fill>
      <patternFill patternType="solid">
        <fgColor rgb="FFC0C0C0"/>
        <bgColor rgb="FFC0C0C0"/>
      </patternFill>
    </fill>
    <fill>
      <patternFill patternType="solid">
        <fgColor theme="0"/>
        <bgColor rgb="FFFFFFFF"/>
      </patternFill>
    </fill>
    <fill>
      <patternFill patternType="solid">
        <fgColor rgb="FFFCD5B5"/>
        <bgColor rgb="FFFCD5B5"/>
      </patternFill>
    </fill>
    <fill>
      <patternFill patternType="solid">
        <fgColor rgb="FFD9D9D9"/>
        <bgColor rgb="FFD9D9D9"/>
      </patternFill>
    </fill>
    <fill>
      <patternFill patternType="solid">
        <fgColor rgb="FFD7E4BD"/>
        <bgColor rgb="FFD7E4BD"/>
      </patternFill>
    </fill>
    <fill>
      <patternFill patternType="solid">
        <fgColor rgb="FFCC99FF"/>
        <bgColor rgb="FFCC99FF"/>
      </patternFill>
    </fill>
    <fill>
      <patternFill patternType="solid">
        <fgColor rgb="FFCCC1DA"/>
        <bgColor rgb="FFCCC1DA"/>
      </patternFill>
    </fill>
    <fill>
      <patternFill patternType="solid">
        <fgColor theme="0"/>
        <bgColor rgb="FFDDD9C3"/>
      </patternFill>
    </fill>
    <fill>
      <patternFill patternType="solid">
        <fgColor theme="0"/>
        <bgColor rgb="FFD9D9D9"/>
      </patternFill>
    </fill>
    <fill>
      <patternFill patternType="solid">
        <fgColor rgb="FFC3D69B"/>
        <bgColor rgb="FFC3D69B"/>
      </patternFill>
    </fill>
    <fill>
      <patternFill patternType="solid">
        <fgColor rgb="FFB7DEE8"/>
        <bgColor rgb="FFB7DEE8"/>
      </patternFill>
    </fill>
    <fill>
      <patternFill patternType="solid">
        <fgColor rgb="FFFDEADA"/>
        <bgColor rgb="FFFDEADA"/>
      </patternFill>
    </fill>
    <fill>
      <patternFill patternType="solid">
        <fgColor rgb="FFFFFF00"/>
        <bgColor indexed="64"/>
      </patternFill>
    </fill>
    <fill>
      <patternFill patternType="solid">
        <fgColor theme="8" tint="0.79998168889431442"/>
        <bgColor indexed="64"/>
      </patternFill>
    </fill>
    <fill>
      <patternFill patternType="solid">
        <fgColor theme="0" tint="-0.34998626667073579"/>
        <bgColor indexed="64"/>
      </patternFill>
    </fill>
  </fills>
  <borders count="258">
    <border>
      <left/>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auto="1"/>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auto="1"/>
      </right>
      <top style="medium">
        <color auto="1"/>
      </top>
      <bottom style="hair">
        <color auto="1"/>
      </bottom>
      <diagonal/>
    </border>
    <border>
      <left style="medium">
        <color indexed="64"/>
      </left>
      <right/>
      <top/>
      <bottom/>
      <diagonal/>
    </border>
    <border>
      <left style="medium">
        <color indexed="64"/>
      </left>
      <right/>
      <top/>
      <bottom style="medium">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right/>
      <top style="medium">
        <color indexed="64"/>
      </top>
      <bottom style="medium">
        <color indexed="64"/>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right style="double">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medium">
        <color indexed="64"/>
      </top>
      <bottom style="hair">
        <color indexed="64"/>
      </bottom>
      <diagonal/>
    </border>
    <border>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right style="double">
        <color indexed="64"/>
      </right>
      <top/>
      <bottom style="hair">
        <color indexed="64"/>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indexed="64"/>
      </left>
      <right style="double">
        <color indexed="64"/>
      </right>
      <top/>
      <bottom style="hair">
        <color indexed="64"/>
      </bottom>
      <diagonal/>
    </border>
    <border>
      <left/>
      <right/>
      <top/>
      <bottom style="medium">
        <color indexed="64"/>
      </bottom>
      <diagonal/>
    </border>
    <border>
      <left/>
      <right/>
      <top style="medium">
        <color auto="1"/>
      </top>
      <bottom/>
      <diagonal/>
    </border>
    <border>
      <left style="medium">
        <color indexed="64"/>
      </left>
      <right style="medium">
        <color auto="1"/>
      </right>
      <top style="medium">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style="thin">
        <color indexed="64"/>
      </left>
      <right style="hair">
        <color indexed="64"/>
      </right>
      <top style="dotted">
        <color indexed="64"/>
      </top>
      <bottom style="dotted">
        <color indexed="64"/>
      </bottom>
      <diagonal/>
    </border>
    <border>
      <left style="medium">
        <color indexed="64"/>
      </left>
      <right style="medium">
        <color auto="1"/>
      </right>
      <top style="hair">
        <color indexed="64"/>
      </top>
      <bottom/>
      <diagonal/>
    </border>
    <border>
      <left/>
      <right/>
      <top style="hair">
        <color indexed="64"/>
      </top>
      <bottom/>
      <diagonal/>
    </border>
    <border>
      <left style="thin">
        <color indexed="64"/>
      </left>
      <right style="hair">
        <color indexed="64"/>
      </right>
      <top style="dotted">
        <color indexed="64"/>
      </top>
      <bottom style="medium">
        <color indexed="64"/>
      </bottom>
      <diagonal/>
    </border>
    <border>
      <left/>
      <right/>
      <top style="hair">
        <color indexed="64"/>
      </top>
      <bottom style="medium">
        <color indexed="64"/>
      </bottom>
      <diagonal/>
    </border>
    <border>
      <left style="medium">
        <color indexed="64"/>
      </left>
      <right style="medium">
        <color auto="1"/>
      </right>
      <top style="hair">
        <color indexed="64"/>
      </top>
      <bottom style="medium">
        <color indexed="64"/>
      </bottom>
      <diagonal/>
    </border>
    <border>
      <left style="medium">
        <color indexed="64"/>
      </left>
      <right style="medium">
        <color auto="1"/>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auto="1"/>
      </left>
      <right style="hair">
        <color auto="1"/>
      </right>
      <top style="hair">
        <color auto="1"/>
      </top>
      <bottom style="medium">
        <color auto="1"/>
      </bottom>
      <diagonal/>
    </border>
    <border>
      <left style="medium">
        <color auto="1"/>
      </left>
      <right/>
      <top/>
      <bottom/>
      <diagonal/>
    </border>
    <border>
      <left style="thin">
        <color indexed="64"/>
      </left>
      <right/>
      <top/>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style="medium">
        <color indexed="64"/>
      </right>
      <top style="hair">
        <color indexed="64"/>
      </top>
      <bottom/>
      <diagonal/>
    </border>
    <border>
      <left/>
      <right style="thin">
        <color indexed="64"/>
      </right>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diagonal/>
    </border>
    <border>
      <left style="medium">
        <color auto="1"/>
      </left>
      <right/>
      <top style="medium">
        <color auto="1"/>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top style="medium">
        <color indexed="64"/>
      </top>
      <bottom style="hair">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style="thin">
        <color rgb="FFFF6600"/>
      </right>
      <top/>
      <bottom style="thin">
        <color rgb="FFFF66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double">
        <color rgb="FF000000"/>
      </right>
      <top/>
      <bottom style="thin">
        <color rgb="FF000000"/>
      </bottom>
      <diagonal/>
    </border>
    <border>
      <left/>
      <right style="thin">
        <color rgb="FF000000"/>
      </right>
      <top style="thin">
        <color rgb="FF000000"/>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auto="1"/>
      </left>
      <right style="hair">
        <color auto="1"/>
      </right>
      <top/>
      <bottom/>
      <diagonal/>
    </border>
    <border>
      <left style="medium">
        <color auto="1"/>
      </left>
      <right/>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right/>
      <top style="medium">
        <color auto="1"/>
      </top>
      <bottom/>
      <diagonal/>
    </border>
    <border>
      <left style="medium">
        <color indexed="64"/>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indexed="64"/>
      </left>
      <right style="hair">
        <color indexed="64"/>
      </right>
      <top/>
      <bottom/>
      <diagonal/>
    </border>
    <border>
      <left style="thin">
        <color indexed="64"/>
      </left>
      <right style="double">
        <color indexed="64"/>
      </right>
      <top style="hair">
        <color indexed="64"/>
      </top>
      <bottom/>
      <diagonal/>
    </border>
    <border>
      <left style="double">
        <color indexed="64"/>
      </left>
      <right style="hair">
        <color indexed="64"/>
      </right>
      <top style="hair">
        <color indexed="64"/>
      </top>
      <bottom/>
      <diagonal/>
    </border>
    <border>
      <left style="thin">
        <color indexed="64"/>
      </left>
      <right style="hair">
        <color indexed="64"/>
      </right>
      <top/>
      <bottom style="medium">
        <color indexed="64"/>
      </bottom>
      <diagonal/>
    </border>
    <border>
      <left style="medium">
        <color indexed="53"/>
      </left>
      <right/>
      <top/>
      <bottom/>
      <diagonal/>
    </border>
    <border>
      <left style="medium">
        <color auto="1"/>
      </left>
      <right/>
      <top style="medium">
        <color auto="1"/>
      </top>
      <bottom/>
      <diagonal/>
    </border>
    <border>
      <left style="hair">
        <color auto="1"/>
      </left>
      <right style="hair">
        <color auto="1"/>
      </right>
      <top style="medium">
        <color auto="1"/>
      </top>
      <bottom/>
      <diagonal/>
    </border>
    <border>
      <left/>
      <right/>
      <top style="medium">
        <color auto="1"/>
      </top>
      <bottom style="hair">
        <color auto="1"/>
      </bottom>
      <diagonal/>
    </border>
    <border>
      <left style="medium">
        <color auto="1"/>
      </left>
      <right style="hair">
        <color auto="1"/>
      </right>
      <top/>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64"/>
      </left>
      <right style="medium">
        <color auto="1"/>
      </right>
      <top/>
      <bottom/>
      <diagonal/>
    </border>
    <border>
      <left style="medium">
        <color indexed="64"/>
      </left>
      <right/>
      <top/>
      <bottom/>
      <diagonal/>
    </border>
    <border>
      <left/>
      <right/>
      <top style="thin">
        <color indexed="64"/>
      </top>
      <bottom style="thin">
        <color indexed="64"/>
      </bottom>
      <diagonal/>
    </border>
    <border>
      <left/>
      <right style="hair">
        <color indexed="64"/>
      </right>
      <top style="medium">
        <color auto="1"/>
      </top>
      <bottom/>
      <diagonal/>
    </border>
    <border>
      <left style="thin">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right style="medium">
        <color indexed="64"/>
      </right>
      <top style="hair">
        <color auto="1"/>
      </top>
      <bottom style="medium">
        <color indexed="64"/>
      </bottom>
      <diagonal/>
    </border>
    <border>
      <left style="medium">
        <color indexed="64"/>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medium">
        <color indexed="53"/>
      </left>
      <right/>
      <top/>
      <bottom/>
      <diagonal/>
    </border>
    <border>
      <left style="medium">
        <color auto="1"/>
      </left>
      <right style="hair">
        <color auto="1"/>
      </right>
      <top/>
      <bottom/>
      <diagonal/>
    </border>
    <border>
      <left style="medium">
        <color auto="1"/>
      </left>
      <right/>
      <top/>
      <bottom/>
      <diagonal/>
    </border>
    <border>
      <left/>
      <right style="hair">
        <color auto="1"/>
      </right>
      <top/>
      <bottom style="medium">
        <color auto="1"/>
      </bottom>
      <diagonal/>
    </border>
    <border>
      <left/>
      <right/>
      <top/>
      <bottom style="medium">
        <color indexed="64"/>
      </bottom>
      <diagonal/>
    </border>
    <border>
      <left style="medium">
        <color auto="1"/>
      </left>
      <right style="medium">
        <color auto="1"/>
      </right>
      <top/>
      <bottom/>
      <diagonal/>
    </border>
  </borders>
  <cellStyleXfs count="6">
    <xf numFmtId="0" fontId="0" fillId="0" borderId="0"/>
    <xf numFmtId="166" fontId="1" fillId="0" borderId="0" applyFont="0" applyFill="0" applyBorder="0" applyAlignment="0" applyProtection="0"/>
    <xf numFmtId="0" fontId="57" fillId="0" borderId="0"/>
    <xf numFmtId="167" fontId="125" fillId="0" borderId="0"/>
    <xf numFmtId="0" fontId="1" fillId="0" borderId="0"/>
    <xf numFmtId="0" fontId="180" fillId="0" borderId="0" applyNumberFormat="0" applyFill="0" applyBorder="0" applyAlignment="0" applyProtection="0"/>
  </cellStyleXfs>
  <cellXfs count="2743">
    <xf numFmtId="0" fontId="0" fillId="0" borderId="0" xfId="0"/>
    <xf numFmtId="0" fontId="4" fillId="0" borderId="0" xfId="0" applyFont="1"/>
    <xf numFmtId="0" fontId="5" fillId="2" borderId="1" xfId="0" applyFont="1" applyFill="1" applyBorder="1" applyAlignment="1">
      <alignment horizontal="centerContinuous"/>
    </xf>
    <xf numFmtId="0" fontId="0" fillId="2" borderId="2" xfId="0" applyFill="1" applyBorder="1" applyAlignment="1">
      <alignment horizontal="centerContinuous"/>
    </xf>
    <xf numFmtId="0" fontId="4" fillId="0" borderId="0" xfId="0" applyFont="1" applyBorder="1"/>
    <xf numFmtId="0" fontId="11" fillId="3" borderId="0" xfId="0" applyFont="1" applyFill="1"/>
    <xf numFmtId="0" fontId="0" fillId="3" borderId="0" xfId="0" applyFill="1"/>
    <xf numFmtId="0" fontId="0" fillId="0" borderId="0" xfId="0" applyBorder="1"/>
    <xf numFmtId="0" fontId="12" fillId="3" borderId="9" xfId="0" applyFont="1" applyFill="1" applyBorder="1" applyAlignment="1">
      <alignment wrapText="1"/>
    </xf>
    <xf numFmtId="0" fontId="12" fillId="3" borderId="10" xfId="0" applyFont="1" applyFill="1" applyBorder="1" applyAlignment="1">
      <alignment wrapText="1"/>
    </xf>
    <xf numFmtId="0" fontId="13" fillId="3" borderId="11" xfId="0" applyFont="1" applyFill="1" applyBorder="1" applyAlignment="1">
      <alignment horizontal="centerContinuous" wrapText="1"/>
    </xf>
    <xf numFmtId="0" fontId="13" fillId="3" borderId="14" xfId="0" applyFont="1" applyFill="1" applyBorder="1" applyAlignment="1">
      <alignment horizontal="centerContinuous" wrapText="1"/>
    </xf>
    <xf numFmtId="0" fontId="14" fillId="3" borderId="15" xfId="0" applyFont="1" applyFill="1" applyBorder="1" applyAlignment="1">
      <alignment horizontal="center" vertical="center"/>
    </xf>
    <xf numFmtId="0" fontId="0" fillId="3" borderId="15" xfId="0" applyFill="1" applyBorder="1" applyAlignment="1">
      <alignment horizontal="centerContinuous" wrapText="1"/>
    </xf>
    <xf numFmtId="0" fontId="13" fillId="3" borderId="16" xfId="0" applyFont="1" applyFill="1" applyBorder="1" applyAlignment="1">
      <alignment horizontal="centerContinuous" wrapText="1"/>
    </xf>
    <xf numFmtId="0" fontId="13" fillId="0" borderId="0" xfId="0" applyFont="1" applyFill="1" applyBorder="1" applyAlignment="1">
      <alignment horizontal="centerContinuous" wrapText="1"/>
    </xf>
    <xf numFmtId="0" fontId="14" fillId="0" borderId="0" xfId="0" applyFont="1" applyFill="1" applyBorder="1" applyAlignment="1">
      <alignment horizontal="centerContinuous" wrapText="1"/>
    </xf>
    <xf numFmtId="0" fontId="0" fillId="0" borderId="0" xfId="0" applyFill="1" applyBorder="1" applyAlignment="1">
      <alignment horizontal="centerContinuous" wrapText="1"/>
    </xf>
    <xf numFmtId="0" fontId="12" fillId="3" borderId="17" xfId="0" applyFont="1" applyFill="1" applyBorder="1" applyAlignment="1">
      <alignment wrapText="1"/>
    </xf>
    <xf numFmtId="0" fontId="12" fillId="3" borderId="18" xfId="0" applyFont="1" applyFill="1" applyBorder="1" applyAlignment="1">
      <alignment wrapText="1"/>
    </xf>
    <xf numFmtId="0" fontId="15" fillId="3" borderId="19" xfId="0" applyFont="1" applyFill="1" applyBorder="1" applyAlignment="1">
      <alignment wrapText="1"/>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6" fillId="3" borderId="22" xfId="0" applyFont="1" applyFill="1" applyBorder="1" applyAlignment="1">
      <alignment horizontal="center" wrapText="1"/>
    </xf>
    <xf numFmtId="0" fontId="17" fillId="3" borderId="23" xfId="0" applyFont="1" applyFill="1" applyBorder="1" applyAlignment="1">
      <alignment wrapText="1"/>
    </xf>
    <xf numFmtId="0" fontId="15" fillId="3" borderId="21" xfId="0" applyFont="1" applyFill="1" applyBorder="1" applyAlignment="1">
      <alignment wrapText="1"/>
    </xf>
    <xf numFmtId="0" fontId="17" fillId="3" borderId="21" xfId="0" applyFont="1" applyFill="1" applyBorder="1" applyAlignment="1">
      <alignment wrapText="1"/>
    </xf>
    <xf numFmtId="0" fontId="15" fillId="3" borderId="24" xfId="0" applyFont="1" applyFill="1" applyBorder="1" applyAlignment="1">
      <alignment wrapText="1"/>
    </xf>
    <xf numFmtId="0" fontId="15" fillId="0" borderId="0" xfId="0" applyFont="1" applyFill="1" applyBorder="1" applyAlignment="1">
      <alignment wrapText="1"/>
    </xf>
    <xf numFmtId="0" fontId="0" fillId="4" borderId="19" xfId="0" applyFill="1" applyBorder="1"/>
    <xf numFmtId="0" fontId="0" fillId="4" borderId="20" xfId="0" applyFill="1" applyBorder="1"/>
    <xf numFmtId="0" fontId="0" fillId="4" borderId="21" xfId="0" applyFill="1" applyBorder="1"/>
    <xf numFmtId="0" fontId="0" fillId="5" borderId="22" xfId="0" applyFill="1" applyBorder="1"/>
    <xf numFmtId="0" fontId="0" fillId="4" borderId="23" xfId="0" applyFill="1" applyBorder="1"/>
    <xf numFmtId="0" fontId="0" fillId="4" borderId="24" xfId="0" applyFill="1" applyBorder="1"/>
    <xf numFmtId="0" fontId="0" fillId="0" borderId="0" xfId="0" applyFill="1" applyBorder="1"/>
    <xf numFmtId="0" fontId="0" fillId="0" borderId="19" xfId="0" applyBorder="1"/>
    <xf numFmtId="0" fontId="0" fillId="0" borderId="20" xfId="0" applyBorder="1"/>
    <xf numFmtId="0" fontId="0" fillId="0" borderId="21" xfId="0" applyBorder="1"/>
    <xf numFmtId="0" fontId="0" fillId="0" borderId="23" xfId="0" applyBorder="1"/>
    <xf numFmtId="0" fontId="0" fillId="2" borderId="24" xfId="0" applyFill="1" applyBorder="1"/>
    <xf numFmtId="0" fontId="0" fillId="0" borderId="19" xfId="0" applyFill="1" applyBorder="1"/>
    <xf numFmtId="0" fontId="13" fillId="5" borderId="27" xfId="0" applyFont="1" applyFill="1" applyBorder="1" applyAlignment="1">
      <alignment horizontal="right"/>
    </xf>
    <xf numFmtId="0" fontId="0" fillId="5" borderId="28" xfId="0" applyFill="1" applyBorder="1"/>
    <xf numFmtId="0" fontId="0" fillId="5" borderId="29" xfId="0" applyFill="1" applyBorder="1"/>
    <xf numFmtId="0" fontId="0" fillId="5" borderId="30" xfId="0" applyFill="1" applyBorder="1"/>
    <xf numFmtId="0" fontId="0" fillId="5" borderId="31" xfId="0" applyFill="1" applyBorder="1"/>
    <xf numFmtId="0" fontId="0" fillId="5" borderId="32" xfId="0" applyFill="1" applyBorder="1"/>
    <xf numFmtId="0" fontId="0" fillId="5" borderId="33" xfId="0" applyFill="1" applyBorder="1"/>
    <xf numFmtId="0" fontId="13" fillId="0" borderId="0" xfId="0" applyFont="1" applyAlignment="1">
      <alignment horizontal="right"/>
    </xf>
    <xf numFmtId="0" fontId="13" fillId="3" borderId="34" xfId="0" applyFont="1" applyFill="1" applyBorder="1" applyAlignment="1">
      <alignment horizontal="centerContinuous" wrapText="1"/>
    </xf>
    <xf numFmtId="0" fontId="0" fillId="0" borderId="0" xfId="0" applyBorder="1" applyAlignment="1">
      <alignment wrapText="1"/>
    </xf>
    <xf numFmtId="0" fontId="12" fillId="3" borderId="37" xfId="0" applyFont="1" applyFill="1" applyBorder="1" applyAlignment="1">
      <alignment wrapText="1"/>
    </xf>
    <xf numFmtId="0" fontId="15" fillId="3" borderId="22" xfId="0" applyFont="1" applyFill="1" applyBorder="1" applyAlignment="1">
      <alignment wrapText="1"/>
    </xf>
    <xf numFmtId="0" fontId="15" fillId="3" borderId="23" xfId="0" applyFont="1" applyFill="1" applyBorder="1" applyAlignment="1">
      <alignment horizontal="center" wrapText="1"/>
    </xf>
    <xf numFmtId="0" fontId="16" fillId="3" borderId="24" xfId="0" applyFont="1" applyFill="1" applyBorder="1" applyAlignment="1">
      <alignment horizontal="center" wrapText="1"/>
    </xf>
    <xf numFmtId="0" fontId="0" fillId="0" borderId="0" xfId="0" applyAlignment="1">
      <alignment wrapText="1"/>
    </xf>
    <xf numFmtId="0" fontId="0" fillId="4" borderId="22" xfId="0" applyFill="1" applyBorder="1"/>
    <xf numFmtId="0" fontId="0" fillId="5" borderId="24" xfId="0" applyFill="1" applyBorder="1"/>
    <xf numFmtId="0" fontId="0" fillId="0" borderId="22" xfId="0" applyBorder="1"/>
    <xf numFmtId="0" fontId="0" fillId="0" borderId="22" xfId="0" applyFill="1" applyBorder="1"/>
    <xf numFmtId="0" fontId="13" fillId="5" borderId="30" xfId="0" applyFont="1" applyFill="1" applyBorder="1" applyAlignment="1">
      <alignment horizontal="right"/>
    </xf>
    <xf numFmtId="0" fontId="0" fillId="0" borderId="0" xfId="0" applyAlignment="1">
      <alignment vertical="center" wrapText="1"/>
    </xf>
    <xf numFmtId="0" fontId="11" fillId="6" borderId="0" xfId="0" applyFont="1" applyFill="1"/>
    <xf numFmtId="0" fontId="0" fillId="6" borderId="0" xfId="0" applyFill="1"/>
    <xf numFmtId="0" fontId="0" fillId="0" borderId="0" xfId="0" applyFill="1"/>
    <xf numFmtId="0" fontId="12" fillId="6" borderId="9" xfId="0" applyFont="1" applyFill="1" applyBorder="1"/>
    <xf numFmtId="0" fontId="18" fillId="6" borderId="15" xfId="0" applyFont="1" applyFill="1" applyBorder="1" applyAlignment="1">
      <alignment wrapText="1"/>
    </xf>
    <xf numFmtId="0" fontId="15" fillId="6" borderId="11" xfId="0" applyFont="1" applyFill="1" applyBorder="1"/>
    <xf numFmtId="0" fontId="15" fillId="6" borderId="39" xfId="0" applyFont="1" applyFill="1" applyBorder="1" applyAlignment="1">
      <alignment horizontal="center" wrapText="1"/>
    </xf>
    <xf numFmtId="0" fontId="15" fillId="6" borderId="11" xfId="0" applyFont="1" applyFill="1" applyBorder="1" applyAlignment="1">
      <alignment horizontal="center" wrapText="1"/>
    </xf>
    <xf numFmtId="0" fontId="15" fillId="7" borderId="0" xfId="0" applyFont="1" applyFill="1" applyBorder="1" applyAlignment="1">
      <alignment wrapText="1"/>
    </xf>
    <xf numFmtId="0" fontId="26" fillId="4" borderId="19" xfId="0" applyFont="1" applyFill="1" applyBorder="1"/>
    <xf numFmtId="0" fontId="26" fillId="0" borderId="19" xfId="0" applyFont="1" applyBorder="1"/>
    <xf numFmtId="3" fontId="0" fillId="0" borderId="20" xfId="0" applyNumberFormat="1" applyBorder="1"/>
    <xf numFmtId="3" fontId="0" fillId="0" borderId="19" xfId="0" applyNumberFormat="1" applyBorder="1"/>
    <xf numFmtId="3" fontId="0" fillId="5" borderId="28" xfId="0" applyNumberFormat="1" applyFill="1" applyBorder="1"/>
    <xf numFmtId="3" fontId="0" fillId="5" borderId="27" xfId="0" applyNumberFormat="1" applyFill="1" applyBorder="1"/>
    <xf numFmtId="0" fontId="0" fillId="7" borderId="0" xfId="0" applyFill="1" applyBorder="1"/>
    <xf numFmtId="0" fontId="15" fillId="0" borderId="43"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right"/>
    </xf>
    <xf numFmtId="0" fontId="12" fillId="6" borderId="14" xfId="0" applyFont="1" applyFill="1" applyBorder="1"/>
    <xf numFmtId="0" fontId="12" fillId="6" borderId="15" xfId="0" applyFont="1" applyFill="1" applyBorder="1" applyAlignment="1">
      <alignment wrapText="1"/>
    </xf>
    <xf numFmtId="0" fontId="15" fillId="6" borderId="11" xfId="0" applyFont="1" applyFill="1" applyBorder="1" applyAlignment="1">
      <alignment horizontal="left"/>
    </xf>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0" fontId="15" fillId="4" borderId="19" xfId="0" applyFont="1" applyFill="1" applyBorder="1"/>
    <xf numFmtId="0" fontId="0" fillId="0" borderId="24" xfId="0" applyBorder="1"/>
    <xf numFmtId="3" fontId="0" fillId="0" borderId="21" xfId="0" applyNumberFormat="1" applyBorder="1"/>
    <xf numFmtId="0" fontId="0" fillId="0" borderId="20" xfId="0" applyFill="1" applyBorder="1"/>
    <xf numFmtId="0" fontId="0" fillId="0" borderId="21" xfId="0" applyFill="1" applyBorder="1"/>
    <xf numFmtId="3" fontId="0" fillId="0" borderId="21" xfId="0" applyNumberFormat="1" applyFill="1" applyBorder="1"/>
    <xf numFmtId="0" fontId="0" fillId="0" borderId="44" xfId="0" applyBorder="1"/>
    <xf numFmtId="3" fontId="0" fillId="5" borderId="29" xfId="0" applyNumberFormat="1" applyFill="1" applyBorder="1"/>
    <xf numFmtId="0" fontId="12" fillId="6" borderId="10" xfId="0" applyFont="1" applyFill="1" applyBorder="1" applyAlignment="1">
      <alignment wrapText="1"/>
    </xf>
    <xf numFmtId="0" fontId="29" fillId="6" borderId="48" xfId="0" applyFont="1" applyFill="1" applyBorder="1" applyAlignment="1">
      <alignment horizontal="centerContinuous" wrapText="1"/>
    </xf>
    <xf numFmtId="0" fontId="28" fillId="6" borderId="13" xfId="0" applyFont="1" applyFill="1" applyBorder="1" applyAlignment="1">
      <alignment horizontal="centerContinuous" wrapText="1"/>
    </xf>
    <xf numFmtId="0" fontId="28" fillId="6" borderId="36" xfId="0" applyFont="1" applyFill="1" applyBorder="1" applyAlignment="1">
      <alignment horizontal="centerContinuous" wrapText="1"/>
    </xf>
    <xf numFmtId="0" fontId="12" fillId="6" borderId="49" xfId="0" applyFont="1" applyFill="1" applyBorder="1" applyAlignment="1">
      <alignment wrapText="1"/>
    </xf>
    <xf numFmtId="0" fontId="30" fillId="6" borderId="52" xfId="0" applyFont="1" applyFill="1" applyBorder="1" applyAlignment="1">
      <alignment wrapText="1"/>
    </xf>
    <xf numFmtId="0" fontId="28" fillId="6" borderId="49" xfId="0" applyFont="1" applyFill="1" applyBorder="1" applyAlignment="1">
      <alignment wrapText="1"/>
    </xf>
    <xf numFmtId="0" fontId="28" fillId="6" borderId="53" xfId="0" applyFont="1" applyFill="1" applyBorder="1" applyAlignment="1">
      <alignment wrapText="1"/>
    </xf>
    <xf numFmtId="0" fontId="30" fillId="6" borderId="53" xfId="0" applyFont="1" applyFill="1" applyBorder="1" applyAlignment="1">
      <alignment wrapText="1"/>
    </xf>
    <xf numFmtId="0" fontId="28" fillId="6" borderId="54" xfId="0" applyFont="1" applyFill="1" applyBorder="1" applyAlignment="1">
      <alignment wrapText="1"/>
    </xf>
    <xf numFmtId="0" fontId="0" fillId="0" borderId="55" xfId="0" applyBorder="1"/>
    <xf numFmtId="0" fontId="33" fillId="4" borderId="19" xfId="0" applyFont="1" applyFill="1" applyBorder="1"/>
    <xf numFmtId="0" fontId="33" fillId="4" borderId="21" xfId="0" applyFont="1" applyFill="1" applyBorder="1"/>
    <xf numFmtId="0" fontId="0" fillId="4" borderId="52" xfId="0" applyFill="1" applyBorder="1"/>
    <xf numFmtId="0" fontId="0" fillId="4" borderId="49" xfId="0" applyFill="1" applyBorder="1"/>
    <xf numFmtId="0" fontId="33" fillId="0" borderId="19" xfId="0" applyFont="1" applyBorder="1"/>
    <xf numFmtId="0" fontId="33" fillId="0" borderId="21" xfId="0" applyFont="1" applyBorder="1"/>
    <xf numFmtId="0" fontId="0" fillId="0" borderId="56" xfId="0" applyBorder="1"/>
    <xf numFmtId="0" fontId="34" fillId="8" borderId="27" xfId="0" applyFont="1" applyFill="1" applyBorder="1" applyAlignment="1">
      <alignment horizontal="right"/>
    </xf>
    <xf numFmtId="0" fontId="0" fillId="8" borderId="29" xfId="0" applyFont="1" applyFill="1" applyBorder="1" applyAlignment="1">
      <alignment horizontal="right"/>
    </xf>
    <xf numFmtId="0" fontId="0" fillId="8" borderId="32" xfId="0" applyFill="1" applyBorder="1"/>
    <xf numFmtId="0" fontId="0" fillId="8" borderId="29" xfId="0" applyFill="1" applyBorder="1"/>
    <xf numFmtId="0" fontId="0" fillId="8" borderId="33" xfId="0" applyFill="1" applyBorder="1"/>
    <xf numFmtId="0" fontId="0" fillId="0" borderId="0" xfId="0" applyBorder="1" applyAlignment="1"/>
    <xf numFmtId="0" fontId="15" fillId="0" borderId="0" xfId="0" applyFont="1" applyBorder="1" applyAlignment="1">
      <alignment horizontal="center" vertical="center" wrapText="1"/>
    </xf>
    <xf numFmtId="0" fontId="13" fillId="7" borderId="0" xfId="0" applyFont="1" applyFill="1" applyBorder="1" applyAlignment="1">
      <alignment horizontal="right" wrapText="1"/>
    </xf>
    <xf numFmtId="0" fontId="0" fillId="7" borderId="0" xfId="0" applyFont="1" applyFill="1" applyBorder="1" applyAlignment="1">
      <alignment horizontal="right" wrapText="1"/>
    </xf>
    <xf numFmtId="0" fontId="0" fillId="7" borderId="0" xfId="0" applyFill="1" applyBorder="1" applyAlignment="1">
      <alignment wrapText="1"/>
    </xf>
    <xf numFmtId="0" fontId="15" fillId="6" borderId="15" xfId="0" applyFont="1" applyFill="1" applyBorder="1" applyAlignment="1">
      <alignment wrapText="1"/>
    </xf>
    <xf numFmtId="0" fontId="15" fillId="6" borderId="11" xfId="0" applyFont="1" applyFill="1" applyBorder="1" applyAlignment="1">
      <alignment wrapText="1"/>
    </xf>
    <xf numFmtId="0" fontId="16" fillId="6" borderId="57" xfId="0" applyFont="1" applyFill="1" applyBorder="1" applyAlignment="1">
      <alignment wrapText="1"/>
    </xf>
    <xf numFmtId="0" fontId="30" fillId="6" borderId="58" xfId="0" applyFont="1" applyFill="1" applyBorder="1" applyAlignment="1">
      <alignment wrapText="1"/>
    </xf>
    <xf numFmtId="0" fontId="28" fillId="6" borderId="15" xfId="0" applyFont="1" applyFill="1" applyBorder="1" applyAlignment="1">
      <alignment wrapText="1"/>
    </xf>
    <xf numFmtId="0" fontId="28" fillId="6" borderId="59" xfId="0" applyFont="1" applyFill="1" applyBorder="1" applyAlignment="1">
      <alignment wrapText="1"/>
    </xf>
    <xf numFmtId="0" fontId="30" fillId="6" borderId="59" xfId="0" applyFont="1" applyFill="1" applyBorder="1" applyAlignment="1">
      <alignment wrapText="1"/>
    </xf>
    <xf numFmtId="0" fontId="28" fillId="6" borderId="60" xfId="0" applyFont="1" applyFill="1" applyBorder="1" applyAlignment="1">
      <alignment wrapText="1"/>
    </xf>
    <xf numFmtId="0" fontId="26" fillId="4" borderId="21" xfId="0" applyFont="1" applyFill="1" applyBorder="1"/>
    <xf numFmtId="0" fontId="0" fillId="8" borderId="61" xfId="0" applyFill="1" applyBorder="1"/>
    <xf numFmtId="0" fontId="0" fillId="4" borderId="53" xfId="0" applyFill="1" applyBorder="1"/>
    <xf numFmtId="0" fontId="0" fillId="4" borderId="54" xfId="0" applyFill="1" applyBorder="1"/>
    <xf numFmtId="0" fontId="26" fillId="0" borderId="21" xfId="0" applyFont="1" applyBorder="1"/>
    <xf numFmtId="0" fontId="13" fillId="8" borderId="27" xfId="0" applyFont="1" applyFill="1" applyBorder="1" applyAlignment="1">
      <alignment horizontal="right"/>
    </xf>
    <xf numFmtId="0" fontId="13" fillId="8" borderId="30" xfId="0" applyFont="1" applyFill="1" applyBorder="1" applyAlignment="1">
      <alignment horizontal="right"/>
    </xf>
    <xf numFmtId="0" fontId="13" fillId="8" borderId="32" xfId="0" applyFont="1" applyFill="1" applyBorder="1" applyAlignment="1">
      <alignment horizontal="right"/>
    </xf>
    <xf numFmtId="0" fontId="0" fillId="8" borderId="28" xfId="0" applyFill="1" applyBorder="1"/>
    <xf numFmtId="0" fontId="21" fillId="0" borderId="0" xfId="0" applyFont="1" applyBorder="1" applyAlignment="1"/>
    <xf numFmtId="0" fontId="13" fillId="7" borderId="0" xfId="0" applyFont="1" applyFill="1" applyBorder="1" applyAlignment="1">
      <alignment horizontal="right"/>
    </xf>
    <xf numFmtId="0" fontId="13" fillId="7" borderId="0" xfId="0" applyFont="1" applyFill="1" applyBorder="1"/>
    <xf numFmtId="0" fontId="11" fillId="9" borderId="0" xfId="0" applyFont="1" applyFill="1"/>
    <xf numFmtId="0" fontId="35" fillId="9" borderId="0" xfId="0" applyFont="1" applyFill="1"/>
    <xf numFmtId="0" fontId="35" fillId="0" borderId="0" xfId="0" applyFont="1" applyFill="1"/>
    <xf numFmtId="0" fontId="13" fillId="0" borderId="0" xfId="0" applyFont="1"/>
    <xf numFmtId="0" fontId="12" fillId="9" borderId="9" xfId="0" applyFont="1" applyFill="1" applyBorder="1" applyAlignment="1">
      <alignment wrapText="1"/>
    </xf>
    <xf numFmtId="0" fontId="36" fillId="9" borderId="10" xfId="0" applyFont="1" applyFill="1" applyBorder="1" applyAlignment="1">
      <alignment wrapText="1"/>
    </xf>
    <xf numFmtId="0" fontId="15" fillId="9" borderId="11" xfId="0" applyFont="1" applyFill="1" applyBorder="1" applyAlignment="1">
      <alignment wrapText="1"/>
    </xf>
    <xf numFmtId="0" fontId="16" fillId="9" borderId="57" xfId="0" applyFont="1" applyFill="1" applyBorder="1" applyAlignment="1">
      <alignment wrapText="1"/>
    </xf>
    <xf numFmtId="0" fontId="15" fillId="9" borderId="62" xfId="0" applyFont="1" applyFill="1" applyBorder="1" applyAlignment="1">
      <alignment wrapText="1"/>
    </xf>
    <xf numFmtId="0" fontId="15" fillId="9" borderId="15" xfId="0" applyFont="1" applyFill="1" applyBorder="1" applyAlignment="1">
      <alignment wrapText="1"/>
    </xf>
    <xf numFmtId="0" fontId="15" fillId="9" borderId="16" xfId="0" applyFont="1" applyFill="1" applyBorder="1" applyAlignment="1">
      <alignment wrapText="1"/>
    </xf>
    <xf numFmtId="0" fontId="0" fillId="4" borderId="61" xfId="0" applyFill="1" applyBorder="1"/>
    <xf numFmtId="0" fontId="0" fillId="4" borderId="56" xfId="0" applyFill="1" applyBorder="1"/>
    <xf numFmtId="0" fontId="0" fillId="0" borderId="61" xfId="0" applyBorder="1"/>
    <xf numFmtId="0" fontId="13" fillId="8" borderId="63" xfId="0" applyFont="1" applyFill="1" applyBorder="1"/>
    <xf numFmtId="0" fontId="11" fillId="10" borderId="0" xfId="0" applyFont="1" applyFill="1"/>
    <xf numFmtId="0" fontId="0" fillId="10" borderId="0" xfId="0" applyFill="1"/>
    <xf numFmtId="0" fontId="0" fillId="7" borderId="0" xfId="0" applyFill="1"/>
    <xf numFmtId="0" fontId="11" fillId="0" borderId="0" xfId="0" applyFont="1" applyFill="1"/>
    <xf numFmtId="0" fontId="29" fillId="11" borderId="48" xfId="0" applyFont="1" applyFill="1" applyBorder="1" applyAlignment="1">
      <alignment horizontal="centerContinuous" wrapText="1"/>
    </xf>
    <xf numFmtId="0" fontId="29" fillId="11" borderId="13" xfId="0" applyFont="1" applyFill="1" applyBorder="1" applyAlignment="1">
      <alignment horizontal="centerContinuous" wrapText="1"/>
    </xf>
    <xf numFmtId="0" fontId="29" fillId="11" borderId="36" xfId="0" applyFont="1" applyFill="1" applyBorder="1" applyAlignment="1">
      <alignment horizontal="centerContinuous" wrapText="1"/>
    </xf>
    <xf numFmtId="0" fontId="0" fillId="7" borderId="0" xfId="0" applyFont="1" applyFill="1" applyBorder="1"/>
    <xf numFmtId="0" fontId="28" fillId="11" borderId="20" xfId="0" applyFont="1" applyFill="1" applyBorder="1" applyAlignment="1">
      <alignment wrapText="1"/>
    </xf>
    <xf numFmtId="0" fontId="28" fillId="11" borderId="21" xfId="0" applyFont="1" applyFill="1" applyBorder="1" applyAlignment="1">
      <alignment wrapText="1"/>
    </xf>
    <xf numFmtId="0" fontId="30" fillId="11" borderId="52" xfId="0" applyFont="1" applyFill="1" applyBorder="1" applyAlignment="1">
      <alignment wrapText="1"/>
    </xf>
    <xf numFmtId="0" fontId="39" fillId="11" borderId="49" xfId="0" applyFont="1" applyFill="1" applyBorder="1" applyAlignment="1">
      <alignment wrapText="1"/>
    </xf>
    <xf numFmtId="0" fontId="28" fillId="11" borderId="49" xfId="0" applyFont="1" applyFill="1" applyBorder="1" applyAlignment="1">
      <alignment wrapText="1"/>
    </xf>
    <xf numFmtId="0" fontId="28" fillId="11" borderId="53" xfId="0" applyFont="1" applyFill="1" applyBorder="1" applyAlignment="1">
      <alignment wrapText="1"/>
    </xf>
    <xf numFmtId="0" fontId="30" fillId="11" borderId="53" xfId="0" applyFont="1" applyFill="1" applyBorder="1" applyAlignment="1">
      <alignment wrapText="1"/>
    </xf>
    <xf numFmtId="0" fontId="28" fillId="11" borderId="54" xfId="0" applyFont="1" applyFill="1" applyBorder="1" applyAlignment="1">
      <alignment wrapText="1"/>
    </xf>
    <xf numFmtId="0" fontId="0" fillId="4" borderId="56" xfId="0" applyFont="1" applyFill="1" applyBorder="1"/>
    <xf numFmtId="0" fontId="0" fillId="4" borderId="21" xfId="0" applyFont="1" applyFill="1" applyBorder="1"/>
    <xf numFmtId="0" fontId="0" fillId="4" borderId="24" xfId="0" applyFont="1" applyFill="1" applyBorder="1"/>
    <xf numFmtId="0" fontId="0" fillId="0" borderId="56" xfId="0" applyFont="1" applyBorder="1"/>
    <xf numFmtId="0" fontId="0" fillId="0" borderId="21" xfId="0" applyFont="1" applyBorder="1"/>
    <xf numFmtId="0" fontId="0" fillId="0" borderId="24" xfId="0" applyFont="1" applyBorder="1"/>
    <xf numFmtId="0" fontId="0" fillId="8" borderId="32" xfId="0" applyFont="1" applyFill="1" applyBorder="1"/>
    <xf numFmtId="0" fontId="0" fillId="8" borderId="29" xfId="0" applyFont="1" applyFill="1" applyBorder="1"/>
    <xf numFmtId="0" fontId="0" fillId="8" borderId="33" xfId="0" applyFont="1" applyFill="1" applyBorder="1"/>
    <xf numFmtId="0" fontId="0" fillId="0" borderId="0" xfId="0" applyBorder="1" applyAlignment="1">
      <alignment horizontal="left" vertical="center" wrapText="1"/>
    </xf>
    <xf numFmtId="0" fontId="13" fillId="0" borderId="0" xfId="0" applyFont="1" applyBorder="1" applyAlignment="1">
      <alignment horizontal="right"/>
    </xf>
    <xf numFmtId="0" fontId="0" fillId="0" borderId="0" xfId="0" applyFont="1" applyBorder="1"/>
    <xf numFmtId="0" fontId="41" fillId="0" borderId="0" xfId="0" applyFont="1" applyFill="1"/>
    <xf numFmtId="0" fontId="29" fillId="0" borderId="0" xfId="0" applyFont="1" applyFill="1"/>
    <xf numFmtId="0" fontId="28" fillId="11" borderId="46" xfId="0" applyFont="1" applyFill="1" applyBorder="1" applyAlignment="1">
      <alignment horizontal="center" wrapText="1"/>
    </xf>
    <xf numFmtId="0" fontId="28" fillId="11" borderId="12" xfId="0" applyFont="1" applyFill="1" applyBorder="1" applyAlignment="1">
      <alignment horizontal="centerContinuous" wrapText="1"/>
    </xf>
    <xf numFmtId="0" fontId="28" fillId="11" borderId="13" xfId="0" applyFont="1" applyFill="1" applyBorder="1" applyAlignment="1">
      <alignment horizontal="centerContinuous" wrapText="1"/>
    </xf>
    <xf numFmtId="0" fontId="28" fillId="11" borderId="57" xfId="0" applyFont="1" applyFill="1" applyBorder="1" applyAlignment="1">
      <alignment horizontal="centerContinuous" wrapText="1"/>
    </xf>
    <xf numFmtId="0" fontId="28" fillId="11" borderId="50" xfId="0" applyFont="1" applyFill="1" applyBorder="1" applyAlignment="1">
      <alignment horizontal="center" wrapText="1"/>
    </xf>
    <xf numFmtId="0" fontId="15" fillId="11" borderId="21" xfId="0" applyFont="1" applyFill="1" applyBorder="1" applyAlignment="1">
      <alignment wrapText="1"/>
    </xf>
    <xf numFmtId="0" fontId="29" fillId="11" borderId="64" xfId="0" applyFont="1" applyFill="1" applyBorder="1" applyAlignment="1">
      <alignment wrapText="1"/>
    </xf>
    <xf numFmtId="0" fontId="0" fillId="8" borderId="64" xfId="0" applyFont="1" applyFill="1" applyBorder="1"/>
    <xf numFmtId="0" fontId="34" fillId="8" borderId="65" xfId="0" applyFont="1" applyFill="1" applyBorder="1"/>
    <xf numFmtId="0" fontId="15" fillId="0" borderId="0" xfId="0" applyFont="1" applyFill="1" applyBorder="1" applyAlignment="1">
      <alignment horizontal="left" vertical="center" wrapText="1"/>
    </xf>
    <xf numFmtId="0" fontId="13" fillId="0" borderId="0" xfId="0" applyFont="1" applyFill="1" applyBorder="1"/>
    <xf numFmtId="0" fontId="0" fillId="0" borderId="0" xfId="0" applyFont="1" applyFill="1" applyBorder="1"/>
    <xf numFmtId="0" fontId="11" fillId="12" borderId="0" xfId="0" applyFont="1" applyFill="1"/>
    <xf numFmtId="0" fontId="0" fillId="12" borderId="0" xfId="0" applyFill="1"/>
    <xf numFmtId="0" fontId="15" fillId="0" borderId="0" xfId="0" applyFont="1" applyBorder="1" applyAlignment="1">
      <alignment horizontal="left"/>
    </xf>
    <xf numFmtId="0" fontId="28" fillId="12" borderId="66" xfId="0" applyFont="1" applyFill="1" applyBorder="1" applyAlignment="1">
      <alignment horizontal="centerContinuous" wrapText="1"/>
    </xf>
    <xf numFmtId="0" fontId="28" fillId="12" borderId="67" xfId="0" applyFont="1" applyFill="1" applyBorder="1" applyAlignment="1">
      <alignment horizontal="centerContinuous" wrapText="1"/>
    </xf>
    <xf numFmtId="0" fontId="28" fillId="12" borderId="68" xfId="0" applyFont="1" applyFill="1" applyBorder="1" applyAlignment="1">
      <alignment horizontal="centerContinuous" wrapText="1"/>
    </xf>
    <xf numFmtId="0" fontId="29" fillId="12" borderId="53" xfId="0" applyFont="1" applyFill="1" applyBorder="1" applyAlignment="1">
      <alignment wrapText="1"/>
    </xf>
    <xf numFmtId="0" fontId="30" fillId="12" borderId="53" xfId="0" applyFont="1" applyFill="1" applyBorder="1" applyAlignment="1">
      <alignment wrapText="1"/>
    </xf>
    <xf numFmtId="0" fontId="29" fillId="12" borderId="49" xfId="0" applyFont="1" applyFill="1" applyBorder="1" applyAlignment="1">
      <alignment wrapText="1"/>
    </xf>
    <xf numFmtId="0" fontId="29" fillId="12" borderId="50" xfId="0" applyFont="1" applyFill="1" applyBorder="1" applyAlignment="1">
      <alignment wrapText="1"/>
    </xf>
    <xf numFmtId="0" fontId="28" fillId="12" borderId="53" xfId="0" applyFont="1" applyFill="1" applyBorder="1" applyAlignment="1">
      <alignment wrapText="1"/>
    </xf>
    <xf numFmtId="0" fontId="39" fillId="12" borderId="50" xfId="0" applyFont="1" applyFill="1" applyBorder="1" applyAlignment="1">
      <alignment wrapText="1"/>
    </xf>
    <xf numFmtId="0" fontId="28" fillId="12" borderId="70" xfId="0" applyFont="1" applyFill="1" applyBorder="1" applyAlignment="1">
      <alignment wrapText="1"/>
    </xf>
    <xf numFmtId="0" fontId="0" fillId="8" borderId="19" xfId="0" applyFont="1" applyFill="1" applyBorder="1"/>
    <xf numFmtId="0" fontId="0" fillId="4" borderId="20" xfId="0" applyFont="1" applyFill="1" applyBorder="1"/>
    <xf numFmtId="0" fontId="0" fillId="4" borderId="19" xfId="0" applyFont="1" applyFill="1" applyBorder="1"/>
    <xf numFmtId="0" fontId="0" fillId="4" borderId="61" xfId="0" applyFont="1" applyFill="1" applyBorder="1"/>
    <xf numFmtId="0" fontId="0" fillId="0" borderId="20" xfId="0" applyFont="1" applyBorder="1"/>
    <xf numFmtId="0" fontId="0" fillId="0" borderId="19" xfId="0" applyFont="1" applyBorder="1"/>
    <xf numFmtId="0" fontId="0" fillId="0" borderId="61" xfId="0" applyFont="1" applyBorder="1"/>
    <xf numFmtId="0" fontId="0" fillId="8" borderId="27" xfId="0" applyFill="1" applyBorder="1"/>
    <xf numFmtId="0" fontId="0" fillId="8" borderId="28" xfId="0" applyFont="1" applyFill="1" applyBorder="1"/>
    <xf numFmtId="0" fontId="0" fillId="8" borderId="27" xfId="0" applyFont="1" applyFill="1" applyBorder="1"/>
    <xf numFmtId="0" fontId="0" fillId="8" borderId="63" xfId="0" applyFont="1" applyFill="1" applyBorder="1"/>
    <xf numFmtId="0" fontId="28" fillId="0" borderId="0" xfId="0" applyFont="1"/>
    <xf numFmtId="0" fontId="28" fillId="12" borderId="13" xfId="0" applyFont="1" applyFill="1" applyBorder="1" applyAlignment="1">
      <alignment horizontal="centerContinuous" wrapText="1"/>
    </xf>
    <xf numFmtId="0" fontId="28" fillId="12" borderId="72" xfId="0" applyFont="1" applyFill="1" applyBorder="1" applyAlignment="1">
      <alignment horizontal="centerContinuous" wrapText="1"/>
    </xf>
    <xf numFmtId="0" fontId="28" fillId="12" borderId="36" xfId="0" applyFont="1" applyFill="1" applyBorder="1" applyAlignment="1">
      <alignment horizontal="centerContinuous" wrapText="1"/>
    </xf>
    <xf numFmtId="0" fontId="28" fillId="12" borderId="20" xfId="0" applyFont="1" applyFill="1" applyBorder="1" applyAlignment="1">
      <alignment wrapText="1"/>
    </xf>
    <xf numFmtId="0" fontId="28" fillId="12" borderId="21" xfId="0" applyFont="1" applyFill="1" applyBorder="1" applyAlignment="1">
      <alignment wrapText="1"/>
    </xf>
    <xf numFmtId="0" fontId="28" fillId="12" borderId="22" xfId="0" applyFont="1" applyFill="1" applyBorder="1" applyAlignment="1">
      <alignment wrapText="1"/>
    </xf>
    <xf numFmtId="0" fontId="29" fillId="12" borderId="19" xfId="0" applyFont="1" applyFill="1" applyBorder="1" applyAlignment="1">
      <alignment wrapText="1"/>
    </xf>
    <xf numFmtId="0" fontId="28" fillId="12" borderId="24" xfId="0" applyFont="1" applyFill="1" applyBorder="1" applyAlignment="1">
      <alignment wrapText="1"/>
    </xf>
    <xf numFmtId="0" fontId="33" fillId="4" borderId="64" xfId="0" applyFont="1" applyFill="1" applyBorder="1"/>
    <xf numFmtId="0" fontId="33" fillId="0" borderId="64" xfId="0" applyFont="1" applyBorder="1"/>
    <xf numFmtId="0" fontId="34" fillId="8" borderId="65" xfId="0" applyFont="1" applyFill="1" applyBorder="1" applyAlignment="1">
      <alignment horizontal="right"/>
    </xf>
    <xf numFmtId="0" fontId="34" fillId="8" borderId="33" xfId="0" applyFont="1" applyFill="1" applyBorder="1"/>
    <xf numFmtId="0" fontId="28" fillId="0" borderId="0" xfId="0" applyFont="1" applyBorder="1" applyAlignment="1">
      <alignment horizontal="left"/>
    </xf>
    <xf numFmtId="0" fontId="28" fillId="0" borderId="0" xfId="0" applyFont="1" applyBorder="1" applyAlignment="1">
      <alignment horizontal="center" vertical="center" wrapText="1"/>
    </xf>
    <xf numFmtId="0" fontId="34" fillId="7" borderId="55" xfId="0" applyFont="1" applyFill="1" applyBorder="1" applyAlignment="1">
      <alignment horizontal="right"/>
    </xf>
    <xf numFmtId="0" fontId="0" fillId="7" borderId="43" xfId="0" applyFont="1" applyFill="1" applyBorder="1"/>
    <xf numFmtId="0" fontId="34" fillId="7" borderId="0" xfId="0" applyFont="1" applyFill="1" applyBorder="1"/>
    <xf numFmtId="0" fontId="0" fillId="0" borderId="74" xfId="0" applyBorder="1"/>
    <xf numFmtId="0" fontId="46" fillId="12" borderId="35" xfId="0" applyFont="1" applyFill="1" applyBorder="1" applyAlignment="1">
      <alignment horizontal="left" wrapText="1"/>
    </xf>
    <xf numFmtId="0" fontId="31" fillId="12" borderId="15" xfId="0" applyFont="1" applyFill="1" applyBorder="1" applyAlignment="1">
      <alignment horizontal="left" vertical="center" wrapText="1"/>
    </xf>
    <xf numFmtId="0" fontId="34" fillId="12" borderId="75" xfId="0" applyFont="1" applyFill="1" applyBorder="1" applyAlignment="1">
      <alignment horizontal="right"/>
    </xf>
    <xf numFmtId="0" fontId="0" fillId="12" borderId="15" xfId="0" applyFont="1" applyFill="1" applyBorder="1" applyAlignment="1">
      <alignment wrapText="1"/>
    </xf>
    <xf numFmtId="0" fontId="0" fillId="12" borderId="13" xfId="0" applyFont="1" applyFill="1" applyBorder="1" applyAlignment="1">
      <alignment wrapText="1"/>
    </xf>
    <xf numFmtId="0" fontId="0" fillId="12" borderId="16" xfId="0" applyFont="1" applyFill="1" applyBorder="1" applyAlignment="1">
      <alignment wrapText="1"/>
    </xf>
    <xf numFmtId="0" fontId="34" fillId="12" borderId="76" xfId="0" applyFont="1" applyFill="1" applyBorder="1" applyAlignment="1">
      <alignment wrapText="1"/>
    </xf>
    <xf numFmtId="0" fontId="0" fillId="0" borderId="37" xfId="0" applyBorder="1"/>
    <xf numFmtId="0" fontId="34" fillId="4" borderId="20" xfId="0" applyFont="1" applyFill="1" applyBorder="1" applyAlignment="1">
      <alignment horizontal="right"/>
    </xf>
    <xf numFmtId="0" fontId="34" fillId="4" borderId="79" xfId="0" applyFont="1" applyFill="1" applyBorder="1"/>
    <xf numFmtId="0" fontId="0" fillId="4" borderId="80" xfId="0" applyFill="1" applyBorder="1"/>
    <xf numFmtId="0" fontId="34" fillId="7" borderId="20" xfId="0" applyFont="1" applyFill="1" applyBorder="1" applyAlignment="1">
      <alignment horizontal="right"/>
    </xf>
    <xf numFmtId="0" fontId="0" fillId="7" borderId="21" xfId="0" applyFont="1" applyFill="1" applyBorder="1"/>
    <xf numFmtId="0" fontId="0" fillId="7" borderId="24" xfId="0" applyFont="1" applyFill="1" applyBorder="1"/>
    <xf numFmtId="0" fontId="34" fillId="7" borderId="80" xfId="0" applyFont="1" applyFill="1" applyBorder="1"/>
    <xf numFmtId="0" fontId="0" fillId="0" borderId="79" xfId="0" applyBorder="1"/>
    <xf numFmtId="0" fontId="34" fillId="7" borderId="79" xfId="0" applyFont="1" applyFill="1" applyBorder="1"/>
    <xf numFmtId="0" fontId="0" fillId="0" borderId="82" xfId="0" applyBorder="1"/>
    <xf numFmtId="0" fontId="34" fillId="7" borderId="82" xfId="0" applyFont="1" applyFill="1" applyBorder="1"/>
    <xf numFmtId="0" fontId="34" fillId="7" borderId="83" xfId="0" applyFont="1" applyFill="1" applyBorder="1" applyAlignment="1">
      <alignment horizontal="right"/>
    </xf>
    <xf numFmtId="0" fontId="0" fillId="7" borderId="83" xfId="0" applyFont="1" applyFill="1" applyBorder="1"/>
    <xf numFmtId="0" fontId="0" fillId="0" borderId="80" xfId="0" applyBorder="1"/>
    <xf numFmtId="0" fontId="34" fillId="8" borderId="85" xfId="0" applyFont="1" applyFill="1" applyBorder="1" applyAlignment="1">
      <alignment horizontal="right"/>
    </xf>
    <xf numFmtId="0" fontId="0" fillId="8" borderId="74" xfId="0" applyFont="1" applyFill="1" applyBorder="1"/>
    <xf numFmtId="0" fontId="34" fillId="8" borderId="86" xfId="0" applyFont="1" applyFill="1" applyBorder="1"/>
    <xf numFmtId="0" fontId="0" fillId="8" borderId="87" xfId="0" applyFill="1" applyBorder="1"/>
    <xf numFmtId="0" fontId="15" fillId="0" borderId="0" xfId="0" applyFont="1" applyFill="1" applyBorder="1" applyAlignment="1">
      <alignment horizontal="left"/>
    </xf>
    <xf numFmtId="0" fontId="11" fillId="13" borderId="0" xfId="0" applyFont="1" applyFill="1"/>
    <xf numFmtId="0" fontId="0" fillId="13" borderId="0" xfId="0" applyFill="1"/>
    <xf numFmtId="0" fontId="11" fillId="0" borderId="0" xfId="0" applyFont="1"/>
    <xf numFmtId="0" fontId="28" fillId="13" borderId="12" xfId="0" applyFont="1" applyFill="1" applyBorder="1" applyAlignment="1">
      <alignment horizontal="centerContinuous" wrapText="1"/>
    </xf>
    <xf numFmtId="0" fontId="28" fillId="13" borderId="13" xfId="0" applyFont="1" applyFill="1" applyBorder="1" applyAlignment="1">
      <alignment horizontal="centerContinuous" wrapText="1"/>
    </xf>
    <xf numFmtId="0" fontId="28" fillId="13" borderId="72" xfId="0" applyFont="1" applyFill="1" applyBorder="1" applyAlignment="1">
      <alignment horizontal="centerContinuous" wrapText="1"/>
    </xf>
    <xf numFmtId="0" fontId="28" fillId="13" borderId="57" xfId="0" applyFont="1" applyFill="1" applyBorder="1" applyAlignment="1">
      <alignment wrapText="1"/>
    </xf>
    <xf numFmtId="0" fontId="28" fillId="13" borderId="53" xfId="0" applyFont="1" applyFill="1" applyBorder="1" applyAlignment="1">
      <alignment wrapText="1"/>
    </xf>
    <xf numFmtId="0" fontId="28" fillId="13" borderId="49" xfId="0" applyFont="1" applyFill="1" applyBorder="1" applyAlignment="1">
      <alignment wrapText="1"/>
    </xf>
    <xf numFmtId="0" fontId="29" fillId="13" borderId="19" xfId="0" applyFont="1" applyFill="1" applyBorder="1" applyAlignment="1">
      <alignment wrapText="1"/>
    </xf>
    <xf numFmtId="0" fontId="16" fillId="13" borderId="70" xfId="0" applyFont="1" applyFill="1" applyBorder="1" applyAlignment="1">
      <alignment wrapText="1"/>
    </xf>
    <xf numFmtId="0" fontId="15" fillId="13" borderId="62" xfId="0" applyFont="1" applyFill="1" applyBorder="1" applyAlignment="1">
      <alignment wrapText="1"/>
    </xf>
    <xf numFmtId="0" fontId="15" fillId="13" borderId="15" xfId="0" applyFont="1" applyFill="1" applyBorder="1" applyAlignment="1">
      <alignment wrapText="1"/>
    </xf>
    <xf numFmtId="0" fontId="15" fillId="13" borderId="16" xfId="0" applyFont="1" applyFill="1" applyBorder="1" applyAlignment="1">
      <alignment wrapText="1"/>
    </xf>
    <xf numFmtId="0" fontId="0" fillId="8" borderId="19" xfId="0" applyFill="1" applyBorder="1"/>
    <xf numFmtId="0" fontId="0" fillId="8" borderId="63" xfId="0" applyFill="1" applyBorder="1"/>
    <xf numFmtId="0" fontId="15" fillId="13" borderId="21" xfId="0" applyFont="1" applyFill="1" applyBorder="1" applyAlignment="1">
      <alignment wrapText="1"/>
    </xf>
    <xf numFmtId="0" fontId="16" fillId="13" borderId="64" xfId="0" applyFont="1" applyFill="1" applyBorder="1" applyAlignment="1">
      <alignment wrapText="1"/>
    </xf>
    <xf numFmtId="0" fontId="15" fillId="13" borderId="20" xfId="0" applyFont="1" applyFill="1" applyBorder="1" applyAlignment="1">
      <alignment wrapText="1"/>
    </xf>
    <xf numFmtId="0" fontId="15" fillId="13" borderId="24" xfId="0" applyFont="1" applyFill="1" applyBorder="1" applyAlignment="1">
      <alignment wrapText="1"/>
    </xf>
    <xf numFmtId="0" fontId="26" fillId="4" borderId="50" xfId="0" applyFont="1" applyFill="1" applyBorder="1"/>
    <xf numFmtId="0" fontId="0" fillId="8" borderId="73" xfId="0" applyFill="1" applyBorder="1"/>
    <xf numFmtId="0" fontId="0" fillId="8" borderId="65" xfId="0" applyFill="1" applyBorder="1"/>
    <xf numFmtId="0" fontId="11" fillId="14" borderId="0" xfId="0" applyFont="1" applyFill="1"/>
    <xf numFmtId="0" fontId="0" fillId="14" borderId="0" xfId="0" applyFill="1"/>
    <xf numFmtId="0" fontId="13" fillId="14" borderId="0" xfId="0" applyFont="1" applyFill="1"/>
    <xf numFmtId="0" fontId="12" fillId="14" borderId="9" xfId="0" applyFont="1" applyFill="1" applyBorder="1" applyAlignment="1">
      <alignment wrapText="1"/>
    </xf>
    <xf numFmtId="0" fontId="12" fillId="14" borderId="15" xfId="0" applyFont="1" applyFill="1" applyBorder="1" applyAlignment="1">
      <alignment wrapText="1"/>
    </xf>
    <xf numFmtId="0" fontId="15" fillId="14" borderId="11" xfId="0" applyFont="1" applyFill="1" applyBorder="1" applyAlignment="1">
      <alignment wrapText="1"/>
    </xf>
    <xf numFmtId="0" fontId="15" fillId="14" borderId="39" xfId="0" applyFont="1" applyFill="1" applyBorder="1" applyAlignment="1">
      <alignment wrapText="1"/>
    </xf>
    <xf numFmtId="0" fontId="15" fillId="14" borderId="15" xfId="0" applyFont="1" applyFill="1" applyBorder="1" applyAlignment="1">
      <alignment wrapText="1"/>
    </xf>
    <xf numFmtId="0" fontId="15" fillId="14" borderId="13" xfId="0" applyFont="1" applyFill="1" applyBorder="1" applyAlignment="1">
      <alignment wrapText="1"/>
    </xf>
    <xf numFmtId="0" fontId="15" fillId="14" borderId="88" xfId="0" applyFont="1" applyFill="1" applyBorder="1" applyAlignment="1">
      <alignment wrapText="1"/>
    </xf>
    <xf numFmtId="0" fontId="15" fillId="14" borderId="89" xfId="0" applyFont="1" applyFill="1" applyBorder="1" applyAlignment="1">
      <alignment wrapText="1"/>
    </xf>
    <xf numFmtId="0" fontId="15" fillId="14" borderId="16" xfId="0" applyFont="1" applyFill="1" applyBorder="1" applyAlignment="1">
      <alignment wrapText="1"/>
    </xf>
    <xf numFmtId="0" fontId="0" fillId="4" borderId="90" xfId="0" applyFill="1" applyBorder="1"/>
    <xf numFmtId="0" fontId="0" fillId="4" borderId="91" xfId="0" applyFill="1" applyBorder="1"/>
    <xf numFmtId="0" fontId="0" fillId="4" borderId="92" xfId="0" applyFill="1" applyBorder="1"/>
    <xf numFmtId="0" fontId="0" fillId="0" borderId="90" xfId="0" applyBorder="1"/>
    <xf numFmtId="0" fontId="0" fillId="0" borderId="91" xfId="0" applyBorder="1"/>
    <xf numFmtId="0" fontId="0" fillId="0" borderId="92" xfId="0" applyBorder="1"/>
    <xf numFmtId="0" fontId="0" fillId="0" borderId="93" xfId="0" applyBorder="1"/>
    <xf numFmtId="0" fontId="0" fillId="0" borderId="78" xfId="0" applyBorder="1"/>
    <xf numFmtId="0" fontId="0" fillId="0" borderId="94" xfId="0" applyBorder="1"/>
    <xf numFmtId="0" fontId="0" fillId="0" borderId="83" xfId="0" applyBorder="1"/>
    <xf numFmtId="0" fontId="0" fillId="0" borderId="95" xfId="0" applyBorder="1"/>
    <xf numFmtId="0" fontId="0" fillId="0" borderId="96" xfId="0" applyBorder="1"/>
    <xf numFmtId="0" fontId="0" fillId="0" borderId="97" xfId="0" applyBorder="1"/>
    <xf numFmtId="0" fontId="0" fillId="8" borderId="85" xfId="0" applyFill="1" applyBorder="1"/>
    <xf numFmtId="0" fontId="0" fillId="8" borderId="98" xfId="0" applyFill="1" applyBorder="1"/>
    <xf numFmtId="0" fontId="0" fillId="8" borderId="99" xfId="0" applyFill="1" applyBorder="1"/>
    <xf numFmtId="0" fontId="12" fillId="11" borderId="9" xfId="0" applyFont="1" applyFill="1" applyBorder="1" applyAlignment="1">
      <alignment horizontal="left" vertical="center" wrapText="1"/>
    </xf>
    <xf numFmtId="0" fontId="24" fillId="11" borderId="15" xfId="0" applyFont="1" applyFill="1" applyBorder="1" applyAlignment="1">
      <alignment wrapText="1"/>
    </xf>
    <xf numFmtId="0" fontId="15" fillId="11" borderId="11" xfId="0" applyFont="1" applyFill="1" applyBorder="1" applyAlignment="1">
      <alignment wrapText="1"/>
    </xf>
    <xf numFmtId="0" fontId="15" fillId="11" borderId="15" xfId="0" applyFont="1" applyFill="1" applyBorder="1" applyAlignment="1">
      <alignment wrapText="1"/>
    </xf>
    <xf numFmtId="0" fontId="15" fillId="11" borderId="16" xfId="0" applyFont="1" applyFill="1" applyBorder="1" applyAlignment="1">
      <alignment wrapText="1"/>
    </xf>
    <xf numFmtId="0" fontId="26" fillId="0" borderId="24" xfId="0" applyFont="1" applyBorder="1"/>
    <xf numFmtId="4" fontId="0" fillId="0" borderId="0" xfId="0" applyNumberFormat="1"/>
    <xf numFmtId="4" fontId="26" fillId="0" borderId="21" xfId="0" applyNumberFormat="1" applyFont="1" applyBorder="1"/>
    <xf numFmtId="0" fontId="0" fillId="0" borderId="0" xfId="0" applyFont="1"/>
    <xf numFmtId="0" fontId="26" fillId="0" borderId="21" xfId="0" applyFont="1" applyBorder="1" applyAlignment="1">
      <alignment wrapText="1"/>
    </xf>
    <xf numFmtId="0" fontId="0" fillId="0" borderId="42" xfId="0" applyBorder="1"/>
    <xf numFmtId="4" fontId="13" fillId="5" borderId="29" xfId="0" applyNumberFormat="1" applyFont="1" applyFill="1" applyBorder="1" applyAlignment="1">
      <alignment horizontal="right"/>
    </xf>
    <xf numFmtId="0" fontId="13" fillId="5" borderId="29" xfId="0" applyFont="1" applyFill="1" applyBorder="1" applyAlignment="1">
      <alignment horizontal="right"/>
    </xf>
    <xf numFmtId="0" fontId="51" fillId="0" borderId="0" xfId="0" applyFont="1"/>
    <xf numFmtId="0" fontId="12" fillId="3" borderId="18" xfId="0" applyFont="1" applyFill="1" applyBorder="1" applyAlignment="1">
      <alignment horizontal="center" wrapText="1"/>
    </xf>
    <xf numFmtId="0" fontId="0" fillId="7" borderId="20" xfId="0" applyFont="1" applyFill="1" applyBorder="1"/>
    <xf numFmtId="0" fontId="0" fillId="5" borderId="22" xfId="0" applyFont="1" applyFill="1" applyBorder="1"/>
    <xf numFmtId="0" fontId="0" fillId="7" borderId="23" xfId="0" applyFont="1" applyFill="1" applyBorder="1"/>
    <xf numFmtId="0" fontId="0" fillId="7" borderId="21" xfId="0" applyFill="1" applyBorder="1"/>
    <xf numFmtId="0" fontId="0" fillId="7" borderId="24" xfId="0" applyFill="1" applyBorder="1"/>
    <xf numFmtId="0" fontId="0" fillId="15" borderId="22" xfId="0" applyFont="1" applyFill="1" applyBorder="1"/>
    <xf numFmtId="0" fontId="55" fillId="7" borderId="21" xfId="0" applyFont="1" applyFill="1" applyBorder="1"/>
    <xf numFmtId="0" fontId="55" fillId="7" borderId="24" xfId="0" applyFont="1" applyFill="1" applyBorder="1"/>
    <xf numFmtId="0" fontId="0" fillId="0" borderId="23" xfId="0" applyFont="1" applyBorder="1"/>
    <xf numFmtId="0" fontId="56" fillId="0" borderId="21" xfId="0" applyFont="1" applyBorder="1"/>
    <xf numFmtId="0" fontId="57" fillId="2" borderId="24" xfId="0" applyFont="1" applyFill="1" applyBorder="1"/>
    <xf numFmtId="0" fontId="0" fillId="0" borderId="0" xfId="0" applyFill="1" applyBorder="1" applyAlignment="1">
      <alignment wrapText="1"/>
    </xf>
    <xf numFmtId="0" fontId="12" fillId="3" borderId="100" xfId="0" applyFont="1" applyFill="1" applyBorder="1" applyAlignment="1">
      <alignment wrapText="1"/>
    </xf>
    <xf numFmtId="0" fontId="0" fillId="7" borderId="23" xfId="0" applyFill="1" applyBorder="1"/>
    <xf numFmtId="0" fontId="55" fillId="7" borderId="0" xfId="0" applyFont="1" applyFill="1"/>
    <xf numFmtId="0" fontId="0" fillId="5" borderId="24" xfId="0" applyFont="1" applyFill="1" applyBorder="1"/>
    <xf numFmtId="0" fontId="58" fillId="6" borderId="9" xfId="0" applyFont="1" applyFill="1" applyBorder="1"/>
    <xf numFmtId="0" fontId="58" fillId="6" borderId="10" xfId="0" applyFont="1" applyFill="1" applyBorder="1" applyAlignment="1">
      <alignment horizontal="center" wrapText="1"/>
    </xf>
    <xf numFmtId="0" fontId="59" fillId="6" borderId="11" xfId="0" applyFont="1" applyFill="1" applyBorder="1"/>
    <xf numFmtId="0" fontId="59" fillId="6" borderId="39" xfId="0" applyFont="1" applyFill="1" applyBorder="1" applyAlignment="1">
      <alignment horizontal="center" wrapText="1"/>
    </xf>
    <xf numFmtId="0" fontId="59" fillId="6" borderId="34" xfId="0" applyFont="1" applyFill="1" applyBorder="1" applyAlignment="1">
      <alignment horizontal="center" wrapText="1"/>
    </xf>
    <xf numFmtId="0" fontId="15" fillId="7" borderId="101" xfId="0" applyFont="1" applyFill="1" applyBorder="1" applyAlignment="1">
      <alignment wrapText="1"/>
    </xf>
    <xf numFmtId="0" fontId="60" fillId="4" borderId="19" xfId="0" applyFont="1" applyFill="1" applyBorder="1"/>
    <xf numFmtId="0" fontId="57" fillId="4" borderId="20" xfId="0" applyFont="1" applyFill="1" applyBorder="1"/>
    <xf numFmtId="0" fontId="57" fillId="4" borderId="22" xfId="0" applyFont="1" applyFill="1" applyBorder="1"/>
    <xf numFmtId="0" fontId="0" fillId="0" borderId="101" xfId="0" applyBorder="1"/>
    <xf numFmtId="0" fontId="60" fillId="0" borderId="19" xfId="0" applyFont="1" applyBorder="1"/>
    <xf numFmtId="0" fontId="57" fillId="7" borderId="20" xfId="0" applyFont="1" applyFill="1" applyBorder="1"/>
    <xf numFmtId="0" fontId="57" fillId="7" borderId="22" xfId="0" applyFont="1" applyFill="1" applyBorder="1"/>
    <xf numFmtId="0" fontId="57" fillId="7" borderId="0" xfId="0" applyFont="1" applyFill="1"/>
    <xf numFmtId="0" fontId="0" fillId="7" borderId="101" xfId="0" applyFill="1" applyBorder="1"/>
    <xf numFmtId="0" fontId="57" fillId="0" borderId="20" xfId="0" applyFont="1" applyBorder="1"/>
    <xf numFmtId="0" fontId="57" fillId="0" borderId="22" xfId="0" applyFont="1" applyBorder="1"/>
    <xf numFmtId="0" fontId="61" fillId="5" borderId="27" xfId="0" applyFont="1" applyFill="1" applyBorder="1" applyAlignment="1">
      <alignment horizontal="right"/>
    </xf>
    <xf numFmtId="0" fontId="57" fillId="5" borderId="28" xfId="0" applyFont="1" applyFill="1" applyBorder="1"/>
    <xf numFmtId="0" fontId="57" fillId="5" borderId="30" xfId="0" applyFont="1" applyFill="1" applyBorder="1"/>
    <xf numFmtId="0" fontId="12" fillId="6" borderId="10" xfId="0" applyFont="1" applyFill="1" applyBorder="1" applyAlignment="1">
      <alignment horizontal="center" wrapText="1"/>
    </xf>
    <xf numFmtId="0" fontId="12" fillId="6" borderId="78" xfId="0" applyFont="1" applyFill="1" applyBorder="1" applyAlignment="1">
      <alignment horizontal="center" wrapText="1"/>
    </xf>
    <xf numFmtId="0" fontId="57" fillId="7" borderId="21" xfId="0" applyFont="1" applyFill="1" applyBorder="1"/>
    <xf numFmtId="0" fontId="57" fillId="7" borderId="56" xfId="0" applyFont="1" applyFill="1" applyBorder="1"/>
    <xf numFmtId="0" fontId="57" fillId="7" borderId="24" xfId="0" applyFont="1" applyFill="1" applyBorder="1"/>
    <xf numFmtId="0" fontId="57" fillId="0" borderId="0" xfId="0" applyFont="1" applyBorder="1"/>
    <xf numFmtId="0" fontId="57" fillId="0" borderId="21" xfId="0" applyFont="1" applyBorder="1"/>
    <xf numFmtId="0" fontId="57" fillId="0" borderId="56" xfId="0" applyFont="1" applyBorder="1"/>
    <xf numFmtId="0" fontId="57" fillId="0" borderId="24" xfId="0" applyFont="1" applyBorder="1"/>
    <xf numFmtId="0" fontId="57" fillId="7" borderId="0" xfId="0" applyFont="1" applyFill="1" applyBorder="1"/>
    <xf numFmtId="0" fontId="63" fillId="4" borderId="19" xfId="0" applyFont="1" applyFill="1" applyBorder="1"/>
    <xf numFmtId="0" fontId="63" fillId="4" borderId="21" xfId="0" applyFont="1" applyFill="1" applyBorder="1"/>
    <xf numFmtId="0" fontId="0" fillId="8" borderId="61" xfId="0" applyFont="1" applyFill="1" applyBorder="1"/>
    <xf numFmtId="0" fontId="0" fillId="4" borderId="53" xfId="0" applyFont="1" applyFill="1" applyBorder="1"/>
    <xf numFmtId="0" fontId="0" fillId="4" borderId="49" xfId="0" applyFont="1" applyFill="1" applyBorder="1"/>
    <xf numFmtId="0" fontId="0" fillId="4" borderId="54" xfId="0" applyFont="1" applyFill="1" applyBorder="1"/>
    <xf numFmtId="0" fontId="63" fillId="0" borderId="19" xfId="0" applyFont="1" applyBorder="1"/>
    <xf numFmtId="0" fontId="63" fillId="7" borderId="21" xfId="0" applyFont="1" applyFill="1" applyBorder="1"/>
    <xf numFmtId="0" fontId="63" fillId="0" borderId="21" xfId="0" applyFont="1" applyBorder="1"/>
    <xf numFmtId="0" fontId="64" fillId="8" borderId="27" xfId="0" applyFont="1" applyFill="1" applyBorder="1" applyAlignment="1">
      <alignment horizontal="right"/>
    </xf>
    <xf numFmtId="0" fontId="64" fillId="8" borderId="30" xfId="0" applyFont="1" applyFill="1" applyBorder="1" applyAlignment="1">
      <alignment horizontal="right"/>
    </xf>
    <xf numFmtId="0" fontId="64" fillId="8" borderId="32" xfId="0" applyFont="1" applyFill="1" applyBorder="1" applyAlignment="1">
      <alignment horizontal="right"/>
    </xf>
    <xf numFmtId="0" fontId="36" fillId="9" borderId="10" xfId="0" applyFont="1" applyFill="1" applyBorder="1" applyAlignment="1">
      <alignment horizontal="center" wrapText="1"/>
    </xf>
    <xf numFmtId="0" fontId="0" fillId="7" borderId="20" xfId="0" applyFill="1" applyBorder="1"/>
    <xf numFmtId="0" fontId="65" fillId="0" borderId="24" xfId="0" applyFont="1" applyBorder="1"/>
    <xf numFmtId="0" fontId="55" fillId="0" borderId="24" xfId="0" applyFont="1" applyBorder="1"/>
    <xf numFmtId="0" fontId="59" fillId="11" borderId="21" xfId="0" applyFont="1" applyFill="1" applyBorder="1" applyAlignment="1">
      <alignment wrapText="1"/>
    </xf>
    <xf numFmtId="0" fontId="57" fillId="0" borderId="19" xfId="0" applyFont="1" applyFill="1" applyBorder="1"/>
    <xf numFmtId="0" fontId="57" fillId="0" borderId="20" xfId="0" applyFont="1" applyFill="1" applyBorder="1"/>
    <xf numFmtId="0" fontId="57" fillId="0" borderId="21" xfId="0" applyFont="1" applyFill="1" applyBorder="1"/>
    <xf numFmtId="0" fontId="57" fillId="8" borderId="64" xfId="0" applyFont="1" applyFill="1" applyBorder="1"/>
    <xf numFmtId="0" fontId="57" fillId="0" borderId="19" xfId="0" applyFont="1" applyBorder="1"/>
    <xf numFmtId="0" fontId="57" fillId="0" borderId="0" xfId="0" applyFont="1"/>
    <xf numFmtId="0" fontId="31" fillId="12" borderId="15" xfId="0" applyFont="1" applyFill="1" applyBorder="1" applyAlignment="1">
      <alignment horizontal="center" vertical="center" wrapText="1"/>
    </xf>
    <xf numFmtId="0" fontId="0" fillId="0" borderId="100" xfId="0" applyBorder="1"/>
    <xf numFmtId="0" fontId="34" fillId="8" borderId="79" xfId="0" applyFont="1" applyFill="1" applyBorder="1"/>
    <xf numFmtId="0" fontId="0" fillId="8" borderId="80" xfId="0" applyFill="1" applyBorder="1"/>
    <xf numFmtId="0" fontId="0" fillId="8" borderId="30" xfId="0" applyFont="1" applyFill="1" applyBorder="1"/>
    <xf numFmtId="0" fontId="0" fillId="8" borderId="86" xfId="0" applyFont="1" applyFill="1" applyBorder="1"/>
    <xf numFmtId="0" fontId="0" fillId="0" borderId="61" xfId="0" applyFill="1" applyBorder="1"/>
    <xf numFmtId="0" fontId="0" fillId="0" borderId="61" xfId="0" applyFont="1" applyFill="1" applyBorder="1"/>
    <xf numFmtId="0" fontId="26" fillId="4" borderId="106" xfId="0" applyFont="1" applyFill="1" applyBorder="1"/>
    <xf numFmtId="0" fontId="26" fillId="0" borderId="108" xfId="0" applyFont="1" applyBorder="1"/>
    <xf numFmtId="0" fontId="0" fillId="8" borderId="73" xfId="0" applyFont="1" applyFill="1" applyBorder="1"/>
    <xf numFmtId="0" fontId="13" fillId="8" borderId="110" xfId="0" applyFont="1" applyFill="1" applyBorder="1" applyAlignment="1">
      <alignment horizontal="right"/>
    </xf>
    <xf numFmtId="0" fontId="12" fillId="14" borderId="15" xfId="0" applyFont="1" applyFill="1" applyBorder="1" applyAlignment="1">
      <alignment horizontal="center" wrapText="1"/>
    </xf>
    <xf numFmtId="0" fontId="15" fillId="11" borderId="34" xfId="0" applyFont="1" applyFill="1" applyBorder="1" applyAlignment="1">
      <alignment wrapText="1"/>
    </xf>
    <xf numFmtId="0" fontId="26" fillId="7" borderId="21" xfId="0" applyNumberFormat="1" applyFont="1" applyFill="1" applyBorder="1"/>
    <xf numFmtId="0" fontId="67" fillId="7" borderId="21" xfId="0" applyNumberFormat="1" applyFont="1" applyFill="1" applyBorder="1"/>
    <xf numFmtId="0" fontId="68" fillId="5" borderId="29" xfId="0" applyFont="1" applyFill="1" applyBorder="1" applyAlignment="1">
      <alignment horizontal="right"/>
    </xf>
    <xf numFmtId="0" fontId="0" fillId="4" borderId="93" xfId="0" applyFill="1" applyBorder="1"/>
    <xf numFmtId="0" fontId="0" fillId="4" borderId="94" xfId="0" applyFill="1" applyBorder="1"/>
    <xf numFmtId="0" fontId="69" fillId="0" borderId="92" xfId="0" applyFont="1" applyBorder="1" applyAlignment="1">
      <alignment horizontal="center" vertical="center" wrapText="1"/>
    </xf>
    <xf numFmtId="0" fontId="69" fillId="0" borderId="19" xfId="0" applyFont="1" applyBorder="1" applyAlignment="1">
      <alignment horizontal="center" vertical="center"/>
    </xf>
    <xf numFmtId="0" fontId="26" fillId="0" borderId="22" xfId="0" applyFont="1" applyBorder="1"/>
    <xf numFmtId="0" fontId="70" fillId="0" borderId="111" xfId="0" applyFont="1" applyBorder="1" applyAlignment="1">
      <alignment horizontal="center" vertical="center" wrapText="1"/>
    </xf>
    <xf numFmtId="0" fontId="70" fillId="0" borderId="50" xfId="0" applyFont="1" applyBorder="1" applyAlignment="1">
      <alignment horizontal="center" vertical="center"/>
    </xf>
    <xf numFmtId="0" fontId="0" fillId="0" borderId="53" xfId="0" applyBorder="1" applyAlignment="1">
      <alignment horizontal="center"/>
    </xf>
    <xf numFmtId="0" fontId="0" fillId="0" borderId="19" xfId="0" applyBorder="1" applyAlignment="1">
      <alignment horizontal="center"/>
    </xf>
    <xf numFmtId="0" fontId="0" fillId="5" borderId="28" xfId="0" applyFill="1" applyBorder="1" applyAlignment="1">
      <alignment horizontal="center"/>
    </xf>
    <xf numFmtId="0" fontId="0" fillId="5" borderId="27" xfId="0" applyFill="1" applyBorder="1" applyAlignment="1">
      <alignment horizontal="center"/>
    </xf>
    <xf numFmtId="3" fontId="0" fillId="0" borderId="23" xfId="0" applyNumberFormat="1" applyBorder="1"/>
    <xf numFmtId="3" fontId="0" fillId="5" borderId="24" xfId="0" applyNumberFormat="1" applyFill="1" applyBorder="1"/>
    <xf numFmtId="3" fontId="0" fillId="5" borderId="31" xfId="0" applyNumberFormat="1" applyFill="1" applyBorder="1"/>
    <xf numFmtId="3" fontId="0" fillId="5" borderId="33" xfId="0" applyNumberFormat="1" applyFill="1" applyBorder="1"/>
    <xf numFmtId="0" fontId="15" fillId="0" borderId="112" xfId="0" applyFont="1" applyFill="1" applyBorder="1" applyAlignment="1">
      <alignment horizontal="left" vertical="center" wrapText="1"/>
    </xf>
    <xf numFmtId="3" fontId="0" fillId="0" borderId="24" xfId="0" applyNumberFormat="1" applyBorder="1"/>
    <xf numFmtId="0" fontId="67" fillId="0" borderId="21" xfId="0" applyFont="1" applyBorder="1"/>
    <xf numFmtId="3" fontId="0" fillId="8" borderId="73" xfId="0" applyNumberFormat="1" applyFill="1" applyBorder="1"/>
    <xf numFmtId="3" fontId="0" fillId="8" borderId="28" xfId="0" applyNumberFormat="1" applyFill="1" applyBorder="1"/>
    <xf numFmtId="3" fontId="0" fillId="8" borderId="29" xfId="0" applyNumberFormat="1" applyFill="1" applyBorder="1"/>
    <xf numFmtId="3" fontId="0" fillId="8" borderId="65" xfId="0" applyNumberFormat="1" applyFill="1" applyBorder="1"/>
    <xf numFmtId="0" fontId="16" fillId="0" borderId="0" xfId="0" applyFont="1" applyBorder="1" applyAlignment="1">
      <alignment horizontal="left" vertical="center" wrapText="1"/>
    </xf>
    <xf numFmtId="0" fontId="0" fillId="0" borderId="0" xfId="0" applyBorder="1" applyAlignment="1">
      <alignment vertical="center" wrapText="1"/>
    </xf>
    <xf numFmtId="3" fontId="0" fillId="0" borderId="0" xfId="0" applyNumberFormat="1" applyFill="1" applyBorder="1"/>
    <xf numFmtId="4" fontId="67" fillId="0" borderId="21" xfId="0" applyNumberFormat="1" applyFont="1" applyBorder="1"/>
    <xf numFmtId="0" fontId="0" fillId="0" borderId="100" xfId="0" applyBorder="1" applyAlignment="1">
      <alignment wrapText="1"/>
    </xf>
    <xf numFmtId="0" fontId="0" fillId="0" borderId="25" xfId="0" applyBorder="1"/>
    <xf numFmtId="4" fontId="68" fillId="5" borderId="29" xfId="0" applyNumberFormat="1" applyFont="1" applyFill="1" applyBorder="1" applyAlignment="1">
      <alignment horizontal="right"/>
    </xf>
    <xf numFmtId="0" fontId="13" fillId="5" borderId="33" xfId="0" applyFont="1" applyFill="1" applyBorder="1" applyAlignment="1">
      <alignment horizontal="right"/>
    </xf>
    <xf numFmtId="4" fontId="26" fillId="0" borderId="0" xfId="0" applyNumberFormat="1" applyFont="1" applyFill="1" applyBorder="1"/>
    <xf numFmtId="4" fontId="67" fillId="0" borderId="0" xfId="0" applyNumberFormat="1" applyFont="1" applyFill="1" applyBorder="1"/>
    <xf numFmtId="0" fontId="0" fillId="7" borderId="19" xfId="0" applyFill="1" applyBorder="1"/>
    <xf numFmtId="0" fontId="0" fillId="5" borderId="27" xfId="0" applyFill="1" applyBorder="1"/>
    <xf numFmtId="0" fontId="33" fillId="7" borderId="21" xfId="0" applyFont="1" applyFill="1" applyBorder="1"/>
    <xf numFmtId="0" fontId="0" fillId="7" borderId="56" xfId="0" applyFill="1" applyBorder="1"/>
    <xf numFmtId="0" fontId="26" fillId="7" borderId="21" xfId="0" applyFont="1" applyFill="1" applyBorder="1"/>
    <xf numFmtId="0" fontId="67" fillId="7" borderId="21" xfId="0" applyFont="1" applyFill="1" applyBorder="1"/>
    <xf numFmtId="0" fontId="55" fillId="7" borderId="20" xfId="0" applyFont="1" applyFill="1" applyBorder="1"/>
    <xf numFmtId="0" fontId="14" fillId="0" borderId="21" xfId="0" applyFont="1" applyBorder="1"/>
    <xf numFmtId="166" fontId="14" fillId="0" borderId="21" xfId="1" applyFont="1" applyBorder="1"/>
    <xf numFmtId="166" fontId="73" fillId="0" borderId="0" xfId="1" applyFont="1"/>
    <xf numFmtId="166" fontId="13" fillId="5" borderId="29" xfId="1" applyFont="1" applyFill="1" applyBorder="1" applyAlignment="1">
      <alignment horizontal="right"/>
    </xf>
    <xf numFmtId="0" fontId="0" fillId="0" borderId="0" xfId="0" applyAlignment="1">
      <alignment horizontal="center"/>
    </xf>
    <xf numFmtId="0" fontId="3" fillId="0" borderId="0" xfId="0" applyFont="1"/>
    <xf numFmtId="0" fontId="51" fillId="0" borderId="0" xfId="0" applyFont="1" applyBorder="1"/>
    <xf numFmtId="0" fontId="11" fillId="3" borderId="0" xfId="0" applyFont="1" applyFill="1" applyBorder="1"/>
    <xf numFmtId="0" fontId="12" fillId="3" borderId="113" xfId="0" applyFont="1" applyFill="1" applyBorder="1" applyAlignment="1">
      <alignment wrapText="1"/>
    </xf>
    <xf numFmtId="0" fontId="11" fillId="6" borderId="0" xfId="0" applyFont="1" applyFill="1" applyBorder="1"/>
    <xf numFmtId="0" fontId="12" fillId="6" borderId="113" xfId="0" applyFont="1" applyFill="1" applyBorder="1"/>
    <xf numFmtId="0" fontId="26" fillId="0" borderId="21" xfId="0" applyNumberFormat="1" applyFont="1" applyBorder="1"/>
    <xf numFmtId="0" fontId="11" fillId="9" borderId="0" xfId="0" applyFont="1" applyFill="1" applyBorder="1"/>
    <xf numFmtId="0" fontId="13" fillId="0" borderId="0" xfId="0" applyFont="1" applyBorder="1"/>
    <xf numFmtId="0" fontId="12" fillId="9" borderId="113" xfId="0" applyFont="1" applyFill="1" applyBorder="1" applyAlignment="1">
      <alignment wrapText="1"/>
    </xf>
    <xf numFmtId="0" fontId="11" fillId="10" borderId="0" xfId="0" applyFont="1" applyFill="1" applyBorder="1"/>
    <xf numFmtId="0" fontId="11" fillId="0" borderId="0" xfId="0" applyFont="1" applyFill="1" applyBorder="1"/>
    <xf numFmtId="0" fontId="41" fillId="0" borderId="0" xfId="0" applyFont="1" applyFill="1" applyBorder="1"/>
    <xf numFmtId="0" fontId="33" fillId="0" borderId="19" xfId="0" applyFont="1" applyFill="1" applyBorder="1"/>
    <xf numFmtId="0" fontId="11" fillId="12" borderId="0" xfId="0" applyFont="1" applyFill="1" applyBorder="1"/>
    <xf numFmtId="0" fontId="11" fillId="13" borderId="0" xfId="0" applyFont="1" applyFill="1" applyBorder="1"/>
    <xf numFmtId="0" fontId="11" fillId="0" borderId="0" xfId="0" applyFont="1" applyBorder="1"/>
    <xf numFmtId="0" fontId="11" fillId="14" borderId="0" xfId="0" applyFont="1" applyFill="1" applyBorder="1"/>
    <xf numFmtId="0" fontId="13" fillId="14" borderId="0" xfId="0" applyFont="1" applyFill="1" applyBorder="1"/>
    <xf numFmtId="0" fontId="12" fillId="14" borderId="113" xfId="0" applyFont="1" applyFill="1" applyBorder="1" applyAlignment="1">
      <alignment wrapText="1"/>
    </xf>
    <xf numFmtId="0" fontId="12" fillId="11" borderId="113" xfId="0" applyFont="1" applyFill="1" applyBorder="1" applyAlignment="1">
      <alignment horizontal="left" vertical="center" wrapText="1"/>
    </xf>
    <xf numFmtId="4" fontId="26" fillId="0" borderId="21" xfId="0" applyNumberFormat="1" applyFont="1" applyBorder="1" applyAlignment="1">
      <alignment horizontal="right" vertical="center"/>
    </xf>
    <xf numFmtId="0" fontId="5" fillId="2" borderId="114" xfId="0" applyFont="1" applyFill="1" applyBorder="1" applyAlignment="1">
      <alignment horizontal="centerContinuous"/>
    </xf>
    <xf numFmtId="0" fontId="0" fillId="2" borderId="115" xfId="0" applyFill="1" applyBorder="1" applyAlignment="1">
      <alignment horizontal="centerContinuous"/>
    </xf>
    <xf numFmtId="0" fontId="1" fillId="4" borderId="22" xfId="0" applyFont="1" applyFill="1" applyBorder="1"/>
    <xf numFmtId="0" fontId="1" fillId="4" borderId="23" xfId="0" applyFont="1" applyFill="1" applyBorder="1"/>
    <xf numFmtId="0" fontId="1" fillId="4" borderId="21" xfId="0" applyFont="1" applyFill="1" applyBorder="1"/>
    <xf numFmtId="0" fontId="1" fillId="5" borderId="24" xfId="0" applyFont="1" applyFill="1" applyBorder="1"/>
    <xf numFmtId="0" fontId="1" fillId="0" borderId="22" xfId="0" applyFont="1" applyBorder="1"/>
    <xf numFmtId="0" fontId="1" fillId="0" borderId="23" xfId="0" applyFont="1" applyBorder="1"/>
    <xf numFmtId="0" fontId="1" fillId="0" borderId="21" xfId="0" applyFont="1" applyBorder="1"/>
    <xf numFmtId="0" fontId="1" fillId="0" borderId="22" xfId="0" applyFont="1" applyFill="1" applyBorder="1"/>
    <xf numFmtId="0" fontId="64" fillId="5" borderId="30" xfId="0" applyFont="1" applyFill="1" applyBorder="1" applyAlignment="1">
      <alignment horizontal="right"/>
    </xf>
    <xf numFmtId="0" fontId="1" fillId="5" borderId="31" xfId="0" applyFont="1" applyFill="1" applyBorder="1"/>
    <xf numFmtId="0" fontId="1" fillId="5" borderId="29" xfId="0" applyFont="1" applyFill="1" applyBorder="1"/>
    <xf numFmtId="0" fontId="1" fillId="5" borderId="33" xfId="0" applyFont="1" applyFill="1" applyBorder="1"/>
    <xf numFmtId="0" fontId="75" fillId="0" borderId="19" xfId="0" applyFont="1" applyFill="1" applyBorder="1"/>
    <xf numFmtId="0" fontId="75" fillId="0" borderId="20" xfId="0" applyFont="1" applyFill="1" applyBorder="1"/>
    <xf numFmtId="0" fontId="75" fillId="0" borderId="21" xfId="0" applyFont="1" applyFill="1" applyBorder="1"/>
    <xf numFmtId="0" fontId="75" fillId="0" borderId="64" xfId="0" applyFont="1" applyFill="1" applyBorder="1"/>
    <xf numFmtId="0" fontId="58" fillId="11" borderId="113" xfId="0" applyFont="1" applyFill="1" applyBorder="1" applyAlignment="1">
      <alignment horizontal="left" vertical="center" wrapText="1"/>
    </xf>
    <xf numFmtId="0" fontId="58" fillId="11" borderId="15" xfId="0" applyFont="1" applyFill="1" applyBorder="1" applyAlignment="1">
      <alignment wrapText="1"/>
    </xf>
    <xf numFmtId="0" fontId="59" fillId="11" borderId="11" xfId="0" applyFont="1" applyFill="1" applyBorder="1" applyAlignment="1">
      <alignment wrapText="1"/>
    </xf>
    <xf numFmtId="0" fontId="59" fillId="11" borderId="15" xfId="0" applyFont="1" applyFill="1" applyBorder="1" applyAlignment="1">
      <alignment wrapText="1"/>
    </xf>
    <xf numFmtId="0" fontId="60" fillId="0" borderId="21" xfId="0" applyFont="1" applyFill="1" applyBorder="1"/>
    <xf numFmtId="0" fontId="0" fillId="0" borderId="0" xfId="0" applyFont="1" applyAlignment="1">
      <alignment wrapText="1"/>
    </xf>
    <xf numFmtId="0" fontId="26" fillId="0" borderId="21" xfId="0" applyFont="1" applyFill="1" applyBorder="1"/>
    <xf numFmtId="0" fontId="0" fillId="0" borderId="42" xfId="0" applyFont="1" applyBorder="1"/>
    <xf numFmtId="0" fontId="0" fillId="0" borderId="0" xfId="0" applyAlignment="1">
      <alignment horizontal="right"/>
    </xf>
    <xf numFmtId="0" fontId="12" fillId="3" borderId="118" xfId="0" applyFont="1" applyFill="1" applyBorder="1" applyAlignment="1">
      <alignment wrapText="1"/>
    </xf>
    <xf numFmtId="0" fontId="12" fillId="3" borderId="119" xfId="0" applyFont="1" applyFill="1" applyBorder="1" applyAlignment="1">
      <alignment wrapText="1"/>
    </xf>
    <xf numFmtId="4" fontId="0" fillId="4" borderId="20" xfId="0" applyNumberFormat="1" applyFill="1" applyBorder="1"/>
    <xf numFmtId="4" fontId="0" fillId="4" borderId="21" xfId="0" applyNumberFormat="1" applyFill="1" applyBorder="1"/>
    <xf numFmtId="1" fontId="0" fillId="5" borderId="22" xfId="0" applyNumberFormat="1" applyFill="1" applyBorder="1"/>
    <xf numFmtId="4" fontId="0" fillId="4" borderId="23" xfId="0" applyNumberFormat="1" applyFill="1" applyBorder="1"/>
    <xf numFmtId="4" fontId="0" fillId="4" borderId="24" xfId="0" applyNumberFormat="1" applyFill="1" applyBorder="1"/>
    <xf numFmtId="0" fontId="0" fillId="0" borderId="20" xfId="0" applyNumberFormat="1" applyFill="1" applyBorder="1"/>
    <xf numFmtId="0" fontId="0" fillId="0" borderId="21" xfId="0" applyNumberFormat="1" applyFill="1" applyBorder="1"/>
    <xf numFmtId="3" fontId="0" fillId="0" borderId="23" xfId="0" applyNumberFormat="1" applyFill="1" applyBorder="1"/>
    <xf numFmtId="3" fontId="0" fillId="0" borderId="24" xfId="0" applyNumberFormat="1" applyFill="1" applyBorder="1"/>
    <xf numFmtId="1" fontId="0" fillId="0" borderId="20" xfId="0" applyNumberFormat="1" applyBorder="1"/>
    <xf numFmtId="1" fontId="0" fillId="0" borderId="21" xfId="0" applyNumberFormat="1" applyBorder="1"/>
    <xf numFmtId="3" fontId="0" fillId="2" borderId="24" xfId="0" applyNumberFormat="1" applyFill="1" applyBorder="1"/>
    <xf numFmtId="1" fontId="0" fillId="5" borderId="28" xfId="0" applyNumberFormat="1" applyFill="1" applyBorder="1"/>
    <xf numFmtId="1" fontId="0" fillId="5" borderId="29" xfId="0" applyNumberFormat="1" applyFill="1" applyBorder="1"/>
    <xf numFmtId="1" fontId="0" fillId="5" borderId="30" xfId="0" applyNumberFormat="1" applyFill="1" applyBorder="1"/>
    <xf numFmtId="3" fontId="0" fillId="5" borderId="32" xfId="0" applyNumberFormat="1" applyFill="1" applyBorder="1"/>
    <xf numFmtId="0" fontId="56" fillId="0" borderId="0" xfId="0" applyFont="1" applyFill="1" applyBorder="1"/>
    <xf numFmtId="0" fontId="56" fillId="0" borderId="0" xfId="0" applyFont="1" applyBorder="1"/>
    <xf numFmtId="0" fontId="12" fillId="6" borderId="118" xfId="0" applyFont="1" applyFill="1" applyBorder="1"/>
    <xf numFmtId="0" fontId="12" fillId="6" borderId="119" xfId="0" applyFont="1" applyFill="1" applyBorder="1" applyAlignment="1">
      <alignment horizontal="center" wrapText="1"/>
    </xf>
    <xf numFmtId="3" fontId="0" fillId="7" borderId="20" xfId="0" applyNumberFormat="1" applyFill="1" applyBorder="1"/>
    <xf numFmtId="3" fontId="0" fillId="7" borderId="19" xfId="0" applyNumberFormat="1" applyFill="1" applyBorder="1"/>
    <xf numFmtId="0" fontId="15" fillId="0" borderId="121" xfId="0" applyFont="1" applyFill="1" applyBorder="1" applyAlignment="1">
      <alignment horizontal="left" vertical="center" wrapText="1"/>
    </xf>
    <xf numFmtId="0" fontId="12" fillId="6" borderId="119" xfId="0" applyFont="1" applyFill="1" applyBorder="1" applyAlignment="1">
      <alignment wrapText="1"/>
    </xf>
    <xf numFmtId="0" fontId="28" fillId="6" borderId="117" xfId="0" applyFont="1" applyFill="1" applyBorder="1" applyAlignment="1">
      <alignment horizontal="centerContinuous" wrapText="1"/>
    </xf>
    <xf numFmtId="0" fontId="28" fillId="6" borderId="120" xfId="0" applyFont="1" applyFill="1" applyBorder="1" applyAlignment="1">
      <alignment horizontal="centerContinuous" wrapText="1"/>
    </xf>
    <xf numFmtId="1" fontId="0" fillId="0" borderId="24" xfId="0" applyNumberFormat="1" applyBorder="1"/>
    <xf numFmtId="1" fontId="0" fillId="8" borderId="28" xfId="0" applyNumberFormat="1" applyFill="1" applyBorder="1"/>
    <xf numFmtId="1" fontId="0" fillId="8" borderId="29" xfId="0" applyNumberFormat="1" applyFill="1" applyBorder="1"/>
    <xf numFmtId="1" fontId="0" fillId="8" borderId="33" xfId="0" applyNumberFormat="1" applyFill="1" applyBorder="1"/>
    <xf numFmtId="0" fontId="12" fillId="9" borderId="118" xfId="0" applyFont="1" applyFill="1" applyBorder="1" applyAlignment="1">
      <alignment wrapText="1"/>
    </xf>
    <xf numFmtId="0" fontId="36" fillId="9" borderId="119" xfId="0" applyFont="1" applyFill="1" applyBorder="1" applyAlignment="1">
      <alignment horizontal="center" wrapText="1"/>
    </xf>
    <xf numFmtId="0" fontId="29" fillId="11" borderId="117" xfId="0" applyFont="1" applyFill="1" applyBorder="1" applyAlignment="1">
      <alignment horizontal="centerContinuous" wrapText="1"/>
    </xf>
    <xf numFmtId="0" fontId="29" fillId="11" borderId="120" xfId="0" applyFont="1" applyFill="1" applyBorder="1" applyAlignment="1">
      <alignment horizontal="centerContinuous" wrapText="1"/>
    </xf>
    <xf numFmtId="0" fontId="0" fillId="0" borderId="24" xfId="0" applyFont="1" applyFill="1" applyBorder="1"/>
    <xf numFmtId="0" fontId="28" fillId="11" borderId="123" xfId="0" applyFont="1" applyFill="1" applyBorder="1" applyAlignment="1">
      <alignment horizontal="center" wrapText="1"/>
    </xf>
    <xf numFmtId="0" fontId="28" fillId="11" borderId="117" xfId="0" applyFont="1" applyFill="1" applyBorder="1" applyAlignment="1">
      <alignment horizontal="centerContinuous" wrapText="1"/>
    </xf>
    <xf numFmtId="0" fontId="28" fillId="12" borderId="124" xfId="0" applyFont="1" applyFill="1" applyBorder="1" applyAlignment="1">
      <alignment horizontal="centerContinuous" wrapText="1"/>
    </xf>
    <xf numFmtId="0" fontId="28" fillId="12" borderId="125" xfId="0" applyFont="1" applyFill="1" applyBorder="1" applyAlignment="1">
      <alignment horizontal="centerContinuous" wrapText="1"/>
    </xf>
    <xf numFmtId="0" fontId="28" fillId="12" borderId="126" xfId="0" applyFont="1" applyFill="1" applyBorder="1" applyAlignment="1">
      <alignment horizontal="centerContinuous" wrapText="1"/>
    </xf>
    <xf numFmtId="0" fontId="28" fillId="12" borderId="117" xfId="0" applyFont="1" applyFill="1" applyBorder="1" applyAlignment="1">
      <alignment horizontal="centerContinuous" wrapText="1"/>
    </xf>
    <xf numFmtId="0" fontId="28" fillId="12" borderId="129" xfId="0" applyFont="1" applyFill="1" applyBorder="1" applyAlignment="1">
      <alignment horizontal="centerContinuous" wrapText="1"/>
    </xf>
    <xf numFmtId="0" fontId="28" fillId="12" borderId="120" xfId="0" applyFont="1" applyFill="1" applyBorder="1" applyAlignment="1">
      <alignment horizontal="centerContinuous" wrapText="1"/>
    </xf>
    <xf numFmtId="0" fontId="0" fillId="7" borderId="121" xfId="0" applyFont="1" applyFill="1" applyBorder="1"/>
    <xf numFmtId="0" fontId="0" fillId="12" borderId="117" xfId="0" applyFont="1" applyFill="1" applyBorder="1" applyAlignment="1">
      <alignment wrapText="1"/>
    </xf>
    <xf numFmtId="0" fontId="28" fillId="13" borderId="117" xfId="0" applyFont="1" applyFill="1" applyBorder="1" applyAlignment="1">
      <alignment horizontal="centerContinuous" wrapText="1"/>
    </xf>
    <xf numFmtId="0" fontId="28" fillId="13" borderId="129" xfId="0" applyFont="1" applyFill="1" applyBorder="1" applyAlignment="1">
      <alignment horizontal="centerContinuous" wrapText="1"/>
    </xf>
    <xf numFmtId="0" fontId="28" fillId="0" borderId="100" xfId="0" applyFont="1" applyBorder="1" applyAlignment="1">
      <alignment vertical="center" wrapText="1"/>
    </xf>
    <xf numFmtId="0" fontId="28" fillId="0" borderId="38" xfId="0" applyFont="1" applyBorder="1" applyAlignment="1"/>
    <xf numFmtId="0" fontId="16" fillId="0" borderId="102" xfId="0" applyFont="1" applyBorder="1" applyAlignment="1">
      <alignment vertical="center" wrapText="1"/>
    </xf>
    <xf numFmtId="0" fontId="16" fillId="0" borderId="100" xfId="0" applyFont="1" applyBorder="1" applyAlignment="1">
      <alignment vertical="center" wrapText="1"/>
    </xf>
    <xf numFmtId="0" fontId="16" fillId="0" borderId="38" xfId="0" applyFont="1" applyBorder="1" applyAlignment="1">
      <alignment vertical="center" wrapText="1"/>
    </xf>
    <xf numFmtId="0" fontId="12" fillId="14" borderId="118" xfId="0" applyFont="1" applyFill="1" applyBorder="1" applyAlignment="1">
      <alignment wrapText="1"/>
    </xf>
    <xf numFmtId="0" fontId="15" fillId="14" borderId="117" xfId="0" applyFont="1" applyFill="1" applyBorder="1" applyAlignment="1">
      <alignment wrapText="1"/>
    </xf>
    <xf numFmtId="0" fontId="12" fillId="11" borderId="118" xfId="0" applyFont="1" applyFill="1" applyBorder="1" applyAlignment="1">
      <alignment horizontal="left" vertical="center" wrapText="1"/>
    </xf>
    <xf numFmtId="4" fontId="26" fillId="7" borderId="21" xfId="0" applyNumberFormat="1" applyFont="1" applyFill="1" applyBorder="1"/>
    <xf numFmtId="4" fontId="26" fillId="0" borderId="21" xfId="0" applyNumberFormat="1" applyFont="1" applyBorder="1" applyAlignment="1">
      <alignment vertical="center"/>
    </xf>
    <xf numFmtId="4" fontId="26" fillId="7" borderId="21" xfId="0" applyNumberFormat="1" applyFont="1" applyFill="1" applyBorder="1" applyAlignment="1">
      <alignment vertical="center"/>
    </xf>
    <xf numFmtId="4" fontId="26" fillId="0" borderId="21" xfId="0" applyNumberFormat="1" applyFont="1" applyBorder="1" applyAlignment="1"/>
    <xf numFmtId="4" fontId="13" fillId="5" borderId="29" xfId="0" applyNumberFormat="1" applyFont="1" applyFill="1" applyBorder="1" applyAlignment="1">
      <alignment horizontal="right" vertical="center"/>
    </xf>
    <xf numFmtId="0" fontId="56" fillId="0" borderId="23" xfId="0" applyFont="1" applyBorder="1"/>
    <xf numFmtId="0" fontId="55" fillId="0" borderId="21" xfId="0" applyFont="1" applyBorder="1"/>
    <xf numFmtId="0" fontId="55" fillId="2" borderId="24" xfId="0" applyFont="1" applyFill="1" applyBorder="1"/>
    <xf numFmtId="0" fontId="65" fillId="0" borderId="21" xfId="0" applyFont="1" applyBorder="1"/>
    <xf numFmtId="0" fontId="65" fillId="2" borderId="24" xfId="0" applyFont="1" applyFill="1" applyBorder="1"/>
    <xf numFmtId="0" fontId="55" fillId="0" borderId="23" xfId="0" applyFont="1" applyBorder="1"/>
    <xf numFmtId="0" fontId="65" fillId="0" borderId="23" xfId="0" applyFont="1" applyBorder="1"/>
    <xf numFmtId="0" fontId="55" fillId="0" borderId="20" xfId="0" applyFont="1" applyBorder="1"/>
    <xf numFmtId="0" fontId="55" fillId="0" borderId="19" xfId="0" applyFont="1" applyBorder="1"/>
    <xf numFmtId="0" fontId="56" fillId="7" borderId="56" xfId="0" applyFont="1" applyFill="1" applyBorder="1"/>
    <xf numFmtId="0" fontId="67" fillId="0" borderId="21" xfId="0" applyFont="1" applyBorder="1" applyAlignment="1">
      <alignment wrapText="1"/>
    </xf>
    <xf numFmtId="0" fontId="26" fillId="0" borderId="21" xfId="0" applyNumberFormat="1" applyFont="1" applyBorder="1" applyAlignment="1">
      <alignment horizontal="right"/>
    </xf>
    <xf numFmtId="0" fontId="55" fillId="0" borderId="61" xfId="0" applyFont="1" applyBorder="1"/>
    <xf numFmtId="0" fontId="55" fillId="0" borderId="56" xfId="0" applyFont="1" applyBorder="1"/>
    <xf numFmtId="0" fontId="55" fillId="7" borderId="19" xfId="0" applyFont="1" applyFill="1" applyBorder="1"/>
    <xf numFmtId="0" fontId="55" fillId="0" borderId="61" xfId="0" applyFont="1" applyFill="1" applyBorder="1"/>
    <xf numFmtId="0" fontId="56" fillId="0" borderId="24" xfId="0" applyFont="1" applyBorder="1"/>
    <xf numFmtId="0" fontId="0" fillId="7" borderId="61" xfId="0" applyFill="1" applyBorder="1"/>
    <xf numFmtId="0" fontId="65" fillId="0" borderId="20" xfId="0" applyFont="1" applyBorder="1"/>
    <xf numFmtId="0" fontId="2" fillId="0" borderId="21" xfId="0" applyFont="1" applyBorder="1"/>
    <xf numFmtId="4" fontId="55" fillId="0" borderId="0" xfId="0" applyNumberFormat="1" applyFont="1"/>
    <xf numFmtId="4" fontId="67" fillId="7" borderId="21" xfId="0" applyNumberFormat="1" applyFont="1" applyFill="1" applyBorder="1"/>
    <xf numFmtId="4" fontId="26" fillId="0" borderId="18" xfId="0" applyNumberFormat="1" applyFont="1" applyFill="1" applyBorder="1"/>
    <xf numFmtId="0" fontId="0" fillId="0" borderId="56" xfId="0" applyFill="1" applyBorder="1"/>
    <xf numFmtId="0" fontId="34" fillId="0" borderId="27" xfId="0" applyFont="1" applyFill="1" applyBorder="1" applyAlignment="1">
      <alignment horizontal="right"/>
    </xf>
    <xf numFmtId="0" fontId="0" fillId="0" borderId="28" xfId="0" applyFill="1" applyBorder="1"/>
    <xf numFmtId="0" fontId="0" fillId="0" borderId="24" xfId="0" applyFill="1" applyBorder="1"/>
    <xf numFmtId="4" fontId="14" fillId="0" borderId="21" xfId="0" applyNumberFormat="1" applyFont="1" applyFill="1" applyBorder="1"/>
    <xf numFmtId="4" fontId="14" fillId="0" borderId="21" xfId="0" applyNumberFormat="1" applyFont="1" applyBorder="1"/>
    <xf numFmtId="4" fontId="26" fillId="0" borderId="21" xfId="0" applyNumberFormat="1" applyFont="1" applyFill="1" applyBorder="1"/>
    <xf numFmtId="0" fontId="87" fillId="0" borderId="0" xfId="0" applyFont="1" applyAlignment="1"/>
    <xf numFmtId="0" fontId="87" fillId="0" borderId="0" xfId="0" applyFont="1"/>
    <xf numFmtId="0" fontId="89" fillId="2" borderId="114" xfId="0" applyFont="1" applyFill="1" applyBorder="1" applyAlignment="1">
      <alignment horizontal="centerContinuous"/>
    </xf>
    <xf numFmtId="0" fontId="88" fillId="2" borderId="115" xfId="0" applyFont="1" applyFill="1" applyBorder="1" applyAlignment="1">
      <alignment horizontal="centerContinuous"/>
    </xf>
    <xf numFmtId="0" fontId="87" fillId="0" borderId="0" xfId="0" applyFont="1" applyBorder="1"/>
    <xf numFmtId="0" fontId="88" fillId="0" borderId="0" xfId="0" applyFont="1" applyAlignment="1"/>
    <xf numFmtId="0" fontId="88" fillId="0" borderId="0" xfId="0" applyFont="1"/>
    <xf numFmtId="0" fontId="87" fillId="3" borderId="0" xfId="0" applyFont="1" applyFill="1" applyAlignment="1"/>
    <xf numFmtId="0" fontId="87" fillId="3" borderId="0" xfId="0" applyFont="1" applyFill="1"/>
    <xf numFmtId="0" fontId="88" fillId="3" borderId="0" xfId="0" applyFont="1" applyFill="1"/>
    <xf numFmtId="0" fontId="88" fillId="0" borderId="0" xfId="0" applyFont="1" applyBorder="1"/>
    <xf numFmtId="0" fontId="87" fillId="3" borderId="118" xfId="0" applyFont="1" applyFill="1" applyBorder="1" applyAlignment="1"/>
    <xf numFmtId="0" fontId="87" fillId="3" borderId="119" xfId="0" applyFont="1" applyFill="1" applyBorder="1" applyAlignment="1">
      <alignment wrapText="1"/>
    </xf>
    <xf numFmtId="0" fontId="87" fillId="3" borderId="11" xfId="0" applyFont="1" applyFill="1" applyBorder="1" applyAlignment="1">
      <alignment horizontal="centerContinuous" wrapText="1"/>
    </xf>
    <xf numFmtId="0" fontId="87" fillId="3" borderId="14" xfId="0" applyFont="1" applyFill="1" applyBorder="1" applyAlignment="1">
      <alignment horizontal="centerContinuous" wrapText="1"/>
    </xf>
    <xf numFmtId="0" fontId="87" fillId="3" borderId="15" xfId="0" applyFont="1" applyFill="1" applyBorder="1" applyAlignment="1">
      <alignment horizontal="center" vertical="center"/>
    </xf>
    <xf numFmtId="0" fontId="88" fillId="3" borderId="15" xfId="0" applyFont="1" applyFill="1" applyBorder="1" applyAlignment="1">
      <alignment horizontal="centerContinuous" wrapText="1"/>
    </xf>
    <xf numFmtId="0" fontId="87" fillId="3" borderId="16" xfId="0" applyFont="1" applyFill="1" applyBorder="1" applyAlignment="1">
      <alignment horizontal="centerContinuous" wrapText="1"/>
    </xf>
    <xf numFmtId="0" fontId="87" fillId="0" borderId="0" xfId="0" applyFont="1" applyFill="1" applyBorder="1" applyAlignment="1">
      <alignment horizontal="centerContinuous" wrapText="1"/>
    </xf>
    <xf numFmtId="0" fontId="87" fillId="3" borderId="17" xfId="0" applyFont="1" applyFill="1" applyBorder="1" applyAlignment="1"/>
    <xf numFmtId="0" fontId="87" fillId="3" borderId="18" xfId="0" applyFont="1" applyFill="1" applyBorder="1" applyAlignment="1">
      <alignment horizontal="center" wrapText="1"/>
    </xf>
    <xf numFmtId="0" fontId="90" fillId="3" borderId="19" xfId="0" applyFont="1" applyFill="1" applyBorder="1" applyAlignment="1">
      <alignment wrapText="1"/>
    </xf>
    <xf numFmtId="0" fontId="90" fillId="3" borderId="20" xfId="0" applyFont="1" applyFill="1" applyBorder="1" applyAlignment="1">
      <alignment horizontal="center" wrapText="1"/>
    </xf>
    <xf numFmtId="0" fontId="90" fillId="3" borderId="21" xfId="0" applyFont="1" applyFill="1" applyBorder="1" applyAlignment="1">
      <alignment horizontal="center" wrapText="1"/>
    </xf>
    <xf numFmtId="0" fontId="87" fillId="3" borderId="22" xfId="0" applyFont="1" applyFill="1" applyBorder="1" applyAlignment="1">
      <alignment horizontal="center" wrapText="1"/>
    </xf>
    <xf numFmtId="0" fontId="91" fillId="3" borderId="23" xfId="0" applyFont="1" applyFill="1" applyBorder="1" applyAlignment="1">
      <alignment wrapText="1"/>
    </xf>
    <xf numFmtId="0" fontId="90" fillId="3" borderId="21" xfId="0" applyFont="1" applyFill="1" applyBorder="1" applyAlignment="1">
      <alignment wrapText="1"/>
    </xf>
    <xf numFmtId="0" fontId="91" fillId="3" borderId="21" xfId="0" applyFont="1" applyFill="1" applyBorder="1" applyAlignment="1">
      <alignment wrapText="1"/>
    </xf>
    <xf numFmtId="0" fontId="90" fillId="3" borderId="24" xfId="0" applyFont="1" applyFill="1" applyBorder="1" applyAlignment="1">
      <alignment wrapText="1"/>
    </xf>
    <xf numFmtId="0" fontId="90" fillId="0" borderId="0" xfId="0" applyFont="1" applyFill="1" applyBorder="1" applyAlignment="1">
      <alignment wrapText="1"/>
    </xf>
    <xf numFmtId="0" fontId="88" fillId="4" borderId="19" xfId="0" applyFont="1" applyFill="1" applyBorder="1"/>
    <xf numFmtId="0" fontId="88" fillId="4" borderId="20" xfId="0" applyFont="1" applyFill="1" applyBorder="1"/>
    <xf numFmtId="0" fontId="88" fillId="4" borderId="21" xfId="0" applyFont="1" applyFill="1" applyBorder="1"/>
    <xf numFmtId="0" fontId="88" fillId="5" borderId="22" xfId="0" applyFont="1" applyFill="1" applyBorder="1"/>
    <xf numFmtId="0" fontId="88" fillId="4" borderId="23" xfId="0" applyFont="1" applyFill="1" applyBorder="1"/>
    <xf numFmtId="0" fontId="88" fillId="4" borderId="24" xfId="0" applyFont="1" applyFill="1" applyBorder="1"/>
    <xf numFmtId="0" fontId="88" fillId="0" borderId="0" xfId="0" applyFont="1" applyFill="1" applyBorder="1"/>
    <xf numFmtId="0" fontId="88" fillId="0" borderId="19" xfId="0" applyFont="1" applyBorder="1"/>
    <xf numFmtId="0" fontId="88" fillId="0" borderId="20" xfId="0" applyFont="1" applyBorder="1"/>
    <xf numFmtId="0" fontId="88" fillId="0" borderId="21" xfId="0" applyFont="1" applyBorder="1"/>
    <xf numFmtId="0" fontId="88" fillId="0" borderId="23" xfId="0" applyFont="1" applyBorder="1"/>
    <xf numFmtId="0" fontId="88" fillId="2" borderId="24" xfId="0" applyFont="1" applyFill="1" applyBorder="1"/>
    <xf numFmtId="0" fontId="88" fillId="0" borderId="19" xfId="0" applyFont="1" applyFill="1" applyBorder="1"/>
    <xf numFmtId="0" fontId="87" fillId="5" borderId="27" xfId="0" applyFont="1" applyFill="1" applyBorder="1" applyAlignment="1">
      <alignment horizontal="right"/>
    </xf>
    <xf numFmtId="0" fontId="88" fillId="5" borderId="28" xfId="0" applyFont="1" applyFill="1" applyBorder="1"/>
    <xf numFmtId="0" fontId="88" fillId="5" borderId="29" xfId="0" applyFont="1" applyFill="1" applyBorder="1"/>
    <xf numFmtId="0" fontId="88" fillId="5" borderId="30" xfId="0" applyFont="1" applyFill="1" applyBorder="1"/>
    <xf numFmtId="0" fontId="88" fillId="5" borderId="31" xfId="0" applyFont="1" applyFill="1" applyBorder="1"/>
    <xf numFmtId="0" fontId="88" fillId="5" borderId="32" xfId="0" applyFont="1" applyFill="1" applyBorder="1"/>
    <xf numFmtId="0" fontId="88" fillId="5" borderId="33" xfId="0" applyFont="1" applyFill="1" applyBorder="1"/>
    <xf numFmtId="0" fontId="87" fillId="0" borderId="0" xfId="0" applyFont="1" applyAlignment="1">
      <alignment horizontal="right"/>
    </xf>
    <xf numFmtId="0" fontId="87" fillId="3" borderId="34" xfId="0" applyFont="1" applyFill="1" applyBorder="1" applyAlignment="1">
      <alignment horizontal="centerContinuous" wrapText="1"/>
    </xf>
    <xf numFmtId="0" fontId="88" fillId="0" borderId="0" xfId="0" applyFont="1" applyFill="1" applyBorder="1" applyAlignment="1">
      <alignment horizontal="centerContinuous" wrapText="1"/>
    </xf>
    <xf numFmtId="0" fontId="88" fillId="0" borderId="0" xfId="0" applyFont="1" applyBorder="1" applyAlignment="1">
      <alignment wrapText="1"/>
    </xf>
    <xf numFmtId="0" fontId="87" fillId="3" borderId="100" xfId="0" applyFont="1" applyFill="1" applyBorder="1" applyAlignment="1"/>
    <xf numFmtId="0" fontId="90" fillId="3" borderId="22" xfId="0" applyFont="1" applyFill="1" applyBorder="1" applyAlignment="1">
      <alignment wrapText="1"/>
    </xf>
    <xf numFmtId="0" fontId="90" fillId="3" borderId="23" xfId="0" applyFont="1" applyFill="1" applyBorder="1" applyAlignment="1">
      <alignment horizontal="center" wrapText="1"/>
    </xf>
    <xf numFmtId="0" fontId="87" fillId="3" borderId="24" xfId="0" applyFont="1" applyFill="1" applyBorder="1" applyAlignment="1">
      <alignment horizontal="center" wrapText="1"/>
    </xf>
    <xf numFmtId="0" fontId="88" fillId="4" borderId="22" xfId="0" applyFont="1" applyFill="1" applyBorder="1"/>
    <xf numFmtId="0" fontId="88" fillId="5" borderId="24" xfId="0" applyFont="1" applyFill="1" applyBorder="1"/>
    <xf numFmtId="0" fontId="88" fillId="0" borderId="22" xfId="0" applyFont="1" applyBorder="1"/>
    <xf numFmtId="0" fontId="88" fillId="0" borderId="22" xfId="0" applyFont="1" applyFill="1" applyBorder="1"/>
    <xf numFmtId="0" fontId="87" fillId="5" borderId="30" xfId="0" applyFont="1" applyFill="1" applyBorder="1" applyAlignment="1">
      <alignment horizontal="right"/>
    </xf>
    <xf numFmtId="0" fontId="88" fillId="0" borderId="0" xfId="0" applyFont="1" applyAlignment="1">
      <alignment vertical="center"/>
    </xf>
    <xf numFmtId="0" fontId="88" fillId="0" borderId="0" xfId="0" applyFont="1" applyAlignment="1">
      <alignment vertical="center" wrapText="1"/>
    </xf>
    <xf numFmtId="0" fontId="87" fillId="6" borderId="0" xfId="0" applyFont="1" applyFill="1" applyAlignment="1"/>
    <xf numFmtId="0" fontId="87" fillId="6" borderId="0" xfId="0" applyFont="1" applyFill="1"/>
    <xf numFmtId="0" fontId="88" fillId="6" borderId="0" xfId="0" applyFont="1" applyFill="1"/>
    <xf numFmtId="0" fontId="88" fillId="0" borderId="0" xfId="0" applyFont="1" applyFill="1"/>
    <xf numFmtId="0" fontId="87" fillId="6" borderId="118" xfId="0" applyFont="1" applyFill="1" applyBorder="1" applyAlignment="1"/>
    <xf numFmtId="0" fontId="87" fillId="6" borderId="119" xfId="0" applyFont="1" applyFill="1" applyBorder="1" applyAlignment="1">
      <alignment horizontal="center" wrapText="1"/>
    </xf>
    <xf numFmtId="0" fontId="90" fillId="6" borderId="11" xfId="0" applyFont="1" applyFill="1" applyBorder="1"/>
    <xf numFmtId="0" fontId="90" fillId="6" borderId="39" xfId="0" applyFont="1" applyFill="1" applyBorder="1" applyAlignment="1">
      <alignment horizontal="center" wrapText="1"/>
    </xf>
    <xf numFmtId="0" fontId="90" fillId="6" borderId="11" xfId="0" applyFont="1" applyFill="1" applyBorder="1" applyAlignment="1">
      <alignment horizontal="center" wrapText="1"/>
    </xf>
    <xf numFmtId="0" fontId="90" fillId="7" borderId="0" xfId="0" applyFont="1" applyFill="1" applyBorder="1" applyAlignment="1">
      <alignment wrapText="1"/>
    </xf>
    <xf numFmtId="0" fontId="90" fillId="4" borderId="19" xfId="0" applyFont="1" applyFill="1" applyBorder="1"/>
    <xf numFmtId="0" fontId="90" fillId="0" borderId="19" xfId="0" applyFont="1" applyBorder="1"/>
    <xf numFmtId="0" fontId="88" fillId="0" borderId="19" xfId="0" applyFont="1" applyBorder="1" applyAlignment="1">
      <alignment horizontal="right"/>
    </xf>
    <xf numFmtId="0" fontId="93" fillId="0" borderId="0" xfId="0" applyFont="1"/>
    <xf numFmtId="0" fontId="88" fillId="0" borderId="108" xfId="0" applyFont="1" applyBorder="1" applyAlignment="1">
      <alignment vertical="center"/>
    </xf>
    <xf numFmtId="0" fontId="93" fillId="0" borderId="130" xfId="0" applyFont="1" applyBorder="1" applyAlignment="1">
      <alignment vertical="center" wrapText="1"/>
    </xf>
    <xf numFmtId="0" fontId="93" fillId="0" borderId="131" xfId="0" applyFont="1" applyBorder="1" applyAlignment="1">
      <alignment vertical="center"/>
    </xf>
    <xf numFmtId="0" fontId="88" fillId="5" borderId="27" xfId="0" applyFont="1" applyFill="1" applyBorder="1"/>
    <xf numFmtId="0" fontId="88" fillId="7" borderId="0" xfId="0" applyFont="1" applyFill="1" applyBorder="1"/>
    <xf numFmtId="0" fontId="90" fillId="0" borderId="121" xfId="0" applyFont="1" applyFill="1" applyBorder="1" applyAlignment="1">
      <alignment horizontal="left" vertical="center"/>
    </xf>
    <xf numFmtId="0" fontId="90" fillId="0" borderId="0" xfId="0" applyFont="1" applyFill="1" applyBorder="1" applyAlignment="1">
      <alignment horizontal="center" vertical="center" wrapText="1"/>
    </xf>
    <xf numFmtId="0" fontId="87" fillId="0" borderId="0" xfId="0" applyFont="1" applyFill="1" applyBorder="1" applyAlignment="1">
      <alignment horizontal="right"/>
    </xf>
    <xf numFmtId="0" fontId="87" fillId="6" borderId="14" xfId="0" applyFont="1" applyFill="1" applyBorder="1" applyAlignment="1"/>
    <xf numFmtId="0" fontId="90" fillId="6" borderId="11" xfId="0" applyFont="1" applyFill="1" applyBorder="1" applyAlignment="1">
      <alignment horizontal="left"/>
    </xf>
    <xf numFmtId="0" fontId="90" fillId="6" borderId="15" xfId="0" applyFont="1" applyFill="1" applyBorder="1" applyAlignment="1">
      <alignment horizontal="center" wrapText="1"/>
    </xf>
    <xf numFmtId="0" fontId="90" fillId="6" borderId="16" xfId="0" applyFont="1" applyFill="1" applyBorder="1" applyAlignment="1">
      <alignment horizontal="center" wrapText="1"/>
    </xf>
    <xf numFmtId="0" fontId="88" fillId="0" borderId="24" xfId="0" applyFont="1" applyBorder="1"/>
    <xf numFmtId="0" fontId="88" fillId="0" borderId="21" xfId="0" applyFont="1" applyFill="1" applyBorder="1"/>
    <xf numFmtId="0" fontId="88" fillId="0" borderId="44" xfId="0" applyFont="1" applyBorder="1"/>
    <xf numFmtId="0" fontId="87" fillId="6" borderId="119" xfId="0" applyFont="1" applyFill="1" applyBorder="1" applyAlignment="1">
      <alignment wrapText="1"/>
    </xf>
    <xf numFmtId="0" fontId="94" fillId="6" borderId="48" xfId="0" applyFont="1" applyFill="1" applyBorder="1" applyAlignment="1">
      <alignment horizontal="centerContinuous" wrapText="1"/>
    </xf>
    <xf numFmtId="0" fontId="88" fillId="6" borderId="117" xfId="0" applyFont="1" applyFill="1" applyBorder="1" applyAlignment="1">
      <alignment horizontal="centerContinuous" wrapText="1"/>
    </xf>
    <xf numFmtId="0" fontId="88" fillId="6" borderId="120" xfId="0" applyFont="1" applyFill="1" applyBorder="1" applyAlignment="1">
      <alignment horizontal="centerContinuous" wrapText="1"/>
    </xf>
    <xf numFmtId="0" fontId="87" fillId="6" borderId="78" xfId="0" applyFont="1" applyFill="1" applyBorder="1" applyAlignment="1">
      <alignment horizontal="center" wrapText="1"/>
    </xf>
    <xf numFmtId="0" fontId="95" fillId="6" borderId="52" xfId="0" applyFont="1" applyFill="1" applyBorder="1" applyAlignment="1">
      <alignment wrapText="1"/>
    </xf>
    <xf numFmtId="0" fontId="88" fillId="6" borderId="49" xfId="0" applyFont="1" applyFill="1" applyBorder="1" applyAlignment="1">
      <alignment wrapText="1"/>
    </xf>
    <xf numFmtId="0" fontId="88" fillId="6" borderId="53" xfId="0" applyFont="1" applyFill="1" applyBorder="1" applyAlignment="1">
      <alignment wrapText="1"/>
    </xf>
    <xf numFmtId="0" fontId="95" fillId="6" borderId="53" xfId="0" applyFont="1" applyFill="1" applyBorder="1" applyAlignment="1">
      <alignment wrapText="1"/>
    </xf>
    <xf numFmtId="0" fontId="88" fillId="6" borderId="54" xfId="0" applyFont="1" applyFill="1" applyBorder="1" applyAlignment="1">
      <alignment wrapText="1"/>
    </xf>
    <xf numFmtId="0" fontId="88" fillId="0" borderId="55" xfId="0" applyFont="1" applyBorder="1"/>
    <xf numFmtId="0" fontId="96" fillId="4" borderId="19" xfId="0" applyFont="1" applyFill="1" applyBorder="1"/>
    <xf numFmtId="0" fontId="96" fillId="4" borderId="21" xfId="0" applyFont="1" applyFill="1" applyBorder="1"/>
    <xf numFmtId="0" fontId="88" fillId="4" borderId="52" xfId="0" applyFont="1" applyFill="1" applyBorder="1"/>
    <xf numFmtId="0" fontId="88" fillId="4" borderId="49" xfId="0" applyFont="1" applyFill="1" applyBorder="1"/>
    <xf numFmtId="0" fontId="96" fillId="0" borderId="19" xfId="0" applyFont="1" applyBorder="1"/>
    <xf numFmtId="0" fontId="96" fillId="0" borderId="21" xfId="0" applyFont="1" applyBorder="1"/>
    <xf numFmtId="0" fontId="88" fillId="0" borderId="56" xfId="0" applyFont="1" applyBorder="1"/>
    <xf numFmtId="0" fontId="94" fillId="8" borderId="27" xfId="0" applyFont="1" applyFill="1" applyBorder="1" applyAlignment="1">
      <alignment horizontal="right"/>
    </xf>
    <xf numFmtId="0" fontId="88" fillId="8" borderId="29" xfId="0" applyFont="1" applyFill="1" applyBorder="1" applyAlignment="1">
      <alignment horizontal="right"/>
    </xf>
    <xf numFmtId="0" fontId="88" fillId="8" borderId="32" xfId="0" applyFont="1" applyFill="1" applyBorder="1"/>
    <xf numFmtId="0" fontId="88" fillId="8" borderId="29" xfId="0" applyFont="1" applyFill="1" applyBorder="1"/>
    <xf numFmtId="0" fontId="88" fillId="8" borderId="33" xfId="0" applyFont="1" applyFill="1" applyBorder="1"/>
    <xf numFmtId="0" fontId="88" fillId="0" borderId="0" xfId="0" applyFont="1" applyBorder="1" applyAlignment="1"/>
    <xf numFmtId="0" fontId="90" fillId="0" borderId="0" xfId="0" applyFont="1" applyBorder="1" applyAlignment="1">
      <alignment horizontal="center" vertical="center" wrapText="1"/>
    </xf>
    <xf numFmtId="0" fontId="87" fillId="7" borderId="0" xfId="0" applyFont="1" applyFill="1" applyBorder="1" applyAlignment="1">
      <alignment horizontal="right" wrapText="1"/>
    </xf>
    <xf numFmtId="0" fontId="88" fillId="7" borderId="0" xfId="0" applyFont="1" applyFill="1" applyBorder="1" applyAlignment="1">
      <alignment horizontal="right" wrapText="1"/>
    </xf>
    <xf numFmtId="0" fontId="88" fillId="7" borderId="0" xfId="0" applyFont="1" applyFill="1" applyBorder="1" applyAlignment="1">
      <alignment wrapText="1"/>
    </xf>
    <xf numFmtId="0" fontId="88" fillId="0" borderId="0" xfId="0" applyFont="1" applyAlignment="1">
      <alignment wrapText="1"/>
    </xf>
    <xf numFmtId="0" fontId="87" fillId="6" borderId="118" xfId="0" applyFont="1" applyFill="1" applyBorder="1" applyAlignment="1">
      <alignment wrapText="1"/>
    </xf>
    <xf numFmtId="0" fontId="90" fillId="6" borderId="15" xfId="0" applyFont="1" applyFill="1" applyBorder="1" applyAlignment="1">
      <alignment wrapText="1"/>
    </xf>
    <xf numFmtId="0" fontId="90" fillId="6" borderId="11" xfId="0" applyFont="1" applyFill="1" applyBorder="1" applyAlignment="1">
      <alignment wrapText="1"/>
    </xf>
    <xf numFmtId="0" fontId="87" fillId="6" borderId="57" xfId="0" applyFont="1" applyFill="1" applyBorder="1" applyAlignment="1">
      <alignment wrapText="1"/>
    </xf>
    <xf numFmtId="0" fontId="95" fillId="6" borderId="58" xfId="0" applyFont="1" applyFill="1" applyBorder="1" applyAlignment="1">
      <alignment wrapText="1"/>
    </xf>
    <xf numFmtId="0" fontId="88" fillId="6" borderId="15" xfId="0" applyFont="1" applyFill="1" applyBorder="1" applyAlignment="1">
      <alignment wrapText="1"/>
    </xf>
    <xf numFmtId="0" fontId="88" fillId="6" borderId="59" xfId="0" applyFont="1" applyFill="1" applyBorder="1" applyAlignment="1">
      <alignment wrapText="1"/>
    </xf>
    <xf numFmtId="0" fontId="95" fillId="6" borderId="59" xfId="0" applyFont="1" applyFill="1" applyBorder="1" applyAlignment="1">
      <alignment wrapText="1"/>
    </xf>
    <xf numFmtId="0" fontId="88" fillId="6" borderId="60" xfId="0" applyFont="1" applyFill="1" applyBorder="1" applyAlignment="1">
      <alignment wrapText="1"/>
    </xf>
    <xf numFmtId="0" fontId="90" fillId="4" borderId="21" xfId="0" applyFont="1" applyFill="1" applyBorder="1"/>
    <xf numFmtId="0" fontId="88" fillId="8" borderId="61" xfId="0" applyFont="1" applyFill="1" applyBorder="1"/>
    <xf numFmtId="0" fontId="88" fillId="4" borderId="53" xfId="0" applyFont="1" applyFill="1" applyBorder="1"/>
    <xf numFmtId="0" fontId="88" fillId="4" borderId="54" xfId="0" applyFont="1" applyFill="1" applyBorder="1"/>
    <xf numFmtId="0" fontId="90" fillId="0" borderId="21" xfId="0" applyFont="1" applyBorder="1"/>
    <xf numFmtId="0" fontId="93" fillId="0" borderId="21" xfId="0" applyFont="1" applyBorder="1"/>
    <xf numFmtId="0" fontId="93" fillId="0" borderId="20" xfId="0" applyFont="1" applyBorder="1"/>
    <xf numFmtId="0" fontId="87" fillId="8" borderId="27" xfId="0" applyFont="1" applyFill="1" applyBorder="1" applyAlignment="1">
      <alignment horizontal="right"/>
    </xf>
    <xf numFmtId="0" fontId="87" fillId="8" borderId="30" xfId="0" applyFont="1" applyFill="1" applyBorder="1" applyAlignment="1">
      <alignment horizontal="right"/>
    </xf>
    <xf numFmtId="0" fontId="87" fillId="8" borderId="32" xfId="0" applyFont="1" applyFill="1" applyBorder="1" applyAlignment="1">
      <alignment horizontal="right"/>
    </xf>
    <xf numFmtId="0" fontId="88" fillId="8" borderId="28" xfId="0" applyFont="1" applyFill="1" applyBorder="1"/>
    <xf numFmtId="0" fontId="93" fillId="0" borderId="0" xfId="0" applyFont="1" applyBorder="1" applyAlignment="1"/>
    <xf numFmtId="0" fontId="87" fillId="7" borderId="0" xfId="0" applyFont="1" applyFill="1" applyBorder="1" applyAlignment="1">
      <alignment horizontal="right"/>
    </xf>
    <xf numFmtId="0" fontId="87" fillId="7" borderId="0" xfId="0" applyFont="1" applyFill="1" applyBorder="1"/>
    <xf numFmtId="0" fontId="87" fillId="9" borderId="0" xfId="0" applyFont="1" applyFill="1" applyAlignment="1"/>
    <xf numFmtId="0" fontId="87" fillId="9" borderId="0" xfId="0" applyFont="1" applyFill="1"/>
    <xf numFmtId="0" fontId="90" fillId="9" borderId="0" xfId="0" applyFont="1" applyFill="1"/>
    <xf numFmtId="0" fontId="90" fillId="0" borderId="0" xfId="0" applyFont="1" applyFill="1"/>
    <xf numFmtId="0" fontId="87" fillId="9" borderId="118" xfId="0" applyFont="1" applyFill="1" applyBorder="1" applyAlignment="1">
      <alignment wrapText="1"/>
    </xf>
    <xf numFmtId="0" fontId="87" fillId="9" borderId="119" xfId="0" applyFont="1" applyFill="1" applyBorder="1" applyAlignment="1">
      <alignment horizontal="center" wrapText="1"/>
    </xf>
    <xf numFmtId="0" fontId="90" fillId="9" borderId="11" xfId="0" applyFont="1" applyFill="1" applyBorder="1" applyAlignment="1">
      <alignment wrapText="1"/>
    </xf>
    <xf numFmtId="0" fontId="87" fillId="9" borderId="57" xfId="0" applyFont="1" applyFill="1" applyBorder="1" applyAlignment="1">
      <alignment wrapText="1"/>
    </xf>
    <xf numFmtId="0" fontId="90" fillId="9" borderId="62" xfId="0" applyFont="1" applyFill="1" applyBorder="1" applyAlignment="1">
      <alignment wrapText="1"/>
    </xf>
    <xf numFmtId="0" fontId="90" fillId="9" borderId="15" xfId="0" applyFont="1" applyFill="1" applyBorder="1" applyAlignment="1">
      <alignment wrapText="1"/>
    </xf>
    <xf numFmtId="0" fontId="90" fillId="9" borderId="16" xfId="0" applyFont="1" applyFill="1" applyBorder="1" applyAlignment="1">
      <alignment wrapText="1"/>
    </xf>
    <xf numFmtId="0" fontId="88" fillId="4" borderId="61" xfId="0" applyFont="1" applyFill="1" applyBorder="1"/>
    <xf numFmtId="0" fontId="88" fillId="4" borderId="56" xfId="0" applyFont="1" applyFill="1" applyBorder="1"/>
    <xf numFmtId="0" fontId="88" fillId="0" borderId="61" xfId="0" applyFont="1" applyBorder="1"/>
    <xf numFmtId="0" fontId="87" fillId="8" borderId="63" xfId="0" applyFont="1" applyFill="1" applyBorder="1"/>
    <xf numFmtId="0" fontId="87" fillId="10" borderId="0" xfId="0" applyFont="1" applyFill="1" applyAlignment="1"/>
    <xf numFmtId="0" fontId="87" fillId="10" borderId="0" xfId="0" applyFont="1" applyFill="1"/>
    <xf numFmtId="0" fontId="88" fillId="10" borderId="0" xfId="0" applyFont="1" applyFill="1"/>
    <xf numFmtId="0" fontId="88" fillId="7" borderId="0" xfId="0" applyFont="1" applyFill="1"/>
    <xf numFmtId="0" fontId="87" fillId="0" borderId="0" xfId="0" applyFont="1" applyFill="1" applyAlignment="1"/>
    <xf numFmtId="0" fontId="87" fillId="0" borderId="0" xfId="0" applyFont="1" applyFill="1"/>
    <xf numFmtId="0" fontId="94" fillId="11" borderId="48" xfId="0" applyFont="1" applyFill="1" applyBorder="1" applyAlignment="1">
      <alignment horizontal="centerContinuous" wrapText="1"/>
    </xf>
    <xf numFmtId="0" fontId="94" fillId="11" borderId="117" xfId="0" applyFont="1" applyFill="1" applyBorder="1" applyAlignment="1">
      <alignment horizontal="centerContinuous" wrapText="1"/>
    </xf>
    <xf numFmtId="0" fontId="94" fillId="11" borderId="120" xfId="0" applyFont="1" applyFill="1" applyBorder="1" applyAlignment="1">
      <alignment horizontal="centerContinuous" wrapText="1"/>
    </xf>
    <xf numFmtId="0" fontId="88" fillId="11" borderId="20" xfId="0" applyFont="1" applyFill="1" applyBorder="1" applyAlignment="1">
      <alignment wrapText="1"/>
    </xf>
    <xf numFmtId="0" fontId="88" fillId="11" borderId="21" xfId="0" applyFont="1" applyFill="1" applyBorder="1" applyAlignment="1">
      <alignment wrapText="1"/>
    </xf>
    <xf numFmtId="0" fontId="95" fillId="11" borderId="52" xfId="0" applyFont="1" applyFill="1" applyBorder="1" applyAlignment="1">
      <alignment wrapText="1"/>
    </xf>
    <xf numFmtId="0" fontId="88" fillId="11" borderId="49" xfId="0" applyFont="1" applyFill="1" applyBorder="1" applyAlignment="1">
      <alignment wrapText="1"/>
    </xf>
    <xf numFmtId="0" fontId="88" fillId="11" borderId="53" xfId="0" applyFont="1" applyFill="1" applyBorder="1" applyAlignment="1">
      <alignment wrapText="1"/>
    </xf>
    <xf numFmtId="0" fontId="95" fillId="11" borderId="53" xfId="0" applyFont="1" applyFill="1" applyBorder="1" applyAlignment="1">
      <alignment wrapText="1"/>
    </xf>
    <xf numFmtId="0" fontId="88" fillId="11" borderId="54" xfId="0" applyFont="1" applyFill="1" applyBorder="1" applyAlignment="1">
      <alignment wrapText="1"/>
    </xf>
    <xf numFmtId="0" fontId="88" fillId="0" borderId="0" xfId="0" applyFont="1" applyBorder="1" applyAlignment="1">
      <alignment horizontal="left" vertical="center"/>
    </xf>
    <xf numFmtId="0" fontId="88" fillId="0" borderId="0" xfId="0" applyFont="1" applyBorder="1" applyAlignment="1">
      <alignment horizontal="left" vertical="center" wrapText="1"/>
    </xf>
    <xf numFmtId="0" fontId="87" fillId="0" borderId="0" xfId="0" applyFont="1" applyBorder="1" applyAlignment="1">
      <alignment horizontal="right"/>
    </xf>
    <xf numFmtId="0" fontId="94" fillId="0" borderId="0" xfId="0" applyFont="1" applyFill="1" applyAlignment="1"/>
    <xf numFmtId="0" fontId="94" fillId="0" borderId="0" xfId="0" applyFont="1" applyFill="1"/>
    <xf numFmtId="0" fontId="94" fillId="11" borderId="122" xfId="0" applyFont="1" applyFill="1" applyBorder="1" applyAlignment="1">
      <alignment wrapText="1"/>
    </xf>
    <xf numFmtId="0" fontId="88" fillId="11" borderId="123" xfId="0" applyFont="1" applyFill="1" applyBorder="1" applyAlignment="1">
      <alignment horizontal="center" wrapText="1"/>
    </xf>
    <xf numFmtId="0" fontId="88" fillId="11" borderId="12" xfId="0" applyFont="1" applyFill="1" applyBorder="1" applyAlignment="1">
      <alignment horizontal="centerContinuous" wrapText="1"/>
    </xf>
    <xf numFmtId="0" fontId="88" fillId="11" borderId="117" xfId="0" applyFont="1" applyFill="1" applyBorder="1" applyAlignment="1">
      <alignment horizontal="centerContinuous" wrapText="1"/>
    </xf>
    <xf numFmtId="0" fontId="88" fillId="11" borderId="57" xfId="0" applyFont="1" applyFill="1" applyBorder="1" applyAlignment="1">
      <alignment horizontal="centerContinuous" wrapText="1"/>
    </xf>
    <xf numFmtId="0" fontId="94" fillId="11" borderId="17" xfId="0" applyFont="1" applyFill="1" applyBorder="1" applyAlignment="1">
      <alignment wrapText="1"/>
    </xf>
    <xf numFmtId="0" fontId="88" fillId="11" borderId="50" xfId="0" applyFont="1" applyFill="1" applyBorder="1" applyAlignment="1">
      <alignment horizontal="center" wrapText="1"/>
    </xf>
    <xf numFmtId="0" fontId="90" fillId="11" borderId="21" xfId="0" applyFont="1" applyFill="1" applyBorder="1" applyAlignment="1">
      <alignment wrapText="1"/>
    </xf>
    <xf numFmtId="0" fontId="94" fillId="11" borderId="64" xfId="0" applyFont="1" applyFill="1" applyBorder="1" applyAlignment="1">
      <alignment wrapText="1"/>
    </xf>
    <xf numFmtId="0" fontId="88" fillId="8" borderId="64" xfId="0" applyFont="1" applyFill="1" applyBorder="1"/>
    <xf numFmtId="0" fontId="94" fillId="8" borderId="65" xfId="0" applyFont="1" applyFill="1" applyBorder="1"/>
    <xf numFmtId="0" fontId="90" fillId="0" borderId="0" xfId="0" applyFont="1" applyFill="1" applyBorder="1" applyAlignment="1">
      <alignment horizontal="left" vertical="center"/>
    </xf>
    <xf numFmtId="0" fontId="87" fillId="0" borderId="0" xfId="0" applyFont="1" applyFill="1" applyBorder="1"/>
    <xf numFmtId="0" fontId="87" fillId="12" borderId="0" xfId="0" applyFont="1" applyFill="1" applyAlignment="1"/>
    <xf numFmtId="0" fontId="87" fillId="12" borderId="0" xfId="0" applyFont="1" applyFill="1"/>
    <xf numFmtId="0" fontId="88" fillId="12" borderId="0" xfId="0" applyFont="1" applyFill="1"/>
    <xf numFmtId="0" fontId="90" fillId="0" borderId="0" xfId="0" applyFont="1" applyBorder="1" applyAlignment="1">
      <alignment horizontal="left"/>
    </xf>
    <xf numFmtId="0" fontId="88" fillId="12" borderId="124" xfId="0" applyFont="1" applyFill="1" applyBorder="1" applyAlignment="1">
      <alignment horizontal="centerContinuous" wrapText="1"/>
    </xf>
    <xf numFmtId="0" fontId="88" fillId="12" borderId="125" xfId="0" applyFont="1" applyFill="1" applyBorder="1" applyAlignment="1">
      <alignment horizontal="centerContinuous" wrapText="1"/>
    </xf>
    <xf numFmtId="0" fontId="88" fillId="12" borderId="126" xfId="0" applyFont="1" applyFill="1" applyBorder="1" applyAlignment="1">
      <alignment horizontal="centerContinuous" wrapText="1"/>
    </xf>
    <xf numFmtId="0" fontId="94" fillId="12" borderId="53" xfId="0" applyFont="1" applyFill="1" applyBorder="1" applyAlignment="1">
      <alignment wrapText="1"/>
    </xf>
    <xf numFmtId="0" fontId="95" fillId="12" borderId="53" xfId="0" applyFont="1" applyFill="1" applyBorder="1" applyAlignment="1">
      <alignment wrapText="1"/>
    </xf>
    <xf numFmtId="0" fontId="94" fillId="12" borderId="49" xfId="0" applyFont="1" applyFill="1" applyBorder="1" applyAlignment="1">
      <alignment wrapText="1"/>
    </xf>
    <xf numFmtId="0" fontId="94" fillId="12" borderId="50" xfId="0" applyFont="1" applyFill="1" applyBorder="1" applyAlignment="1">
      <alignment wrapText="1"/>
    </xf>
    <xf numFmtId="0" fontId="88" fillId="12" borderId="53" xfId="0" applyFont="1" applyFill="1" applyBorder="1" applyAlignment="1">
      <alignment wrapText="1"/>
    </xf>
    <xf numFmtId="0" fontId="88" fillId="12" borderId="50" xfId="0" applyFont="1" applyFill="1" applyBorder="1" applyAlignment="1">
      <alignment wrapText="1"/>
    </xf>
    <xf numFmtId="0" fontId="88" fillId="12" borderId="70" xfId="0" applyFont="1" applyFill="1" applyBorder="1" applyAlignment="1">
      <alignment wrapText="1"/>
    </xf>
    <xf numFmtId="0" fontId="88" fillId="8" borderId="19" xfId="0" applyFont="1" applyFill="1" applyBorder="1"/>
    <xf numFmtId="0" fontId="88" fillId="8" borderId="27" xfId="0" applyFont="1" applyFill="1" applyBorder="1"/>
    <xf numFmtId="0" fontId="88" fillId="8" borderId="63" xfId="0" applyFont="1" applyFill="1" applyBorder="1"/>
    <xf numFmtId="0" fontId="88" fillId="12" borderId="117" xfId="0" applyFont="1" applyFill="1" applyBorder="1" applyAlignment="1">
      <alignment horizontal="centerContinuous" wrapText="1"/>
    </xf>
    <xf numFmtId="0" fontId="88" fillId="12" borderId="129" xfId="0" applyFont="1" applyFill="1" applyBorder="1" applyAlignment="1">
      <alignment horizontal="centerContinuous" wrapText="1"/>
    </xf>
    <xf numFmtId="0" fontId="88" fillId="12" borderId="120" xfId="0" applyFont="1" applyFill="1" applyBorder="1" applyAlignment="1">
      <alignment horizontal="centerContinuous" wrapText="1"/>
    </xf>
    <xf numFmtId="0" fontId="88" fillId="12" borderId="20" xfId="0" applyFont="1" applyFill="1" applyBorder="1" applyAlignment="1">
      <alignment wrapText="1"/>
    </xf>
    <xf numFmtId="0" fontId="88" fillId="12" borderId="21" xfId="0" applyFont="1" applyFill="1" applyBorder="1" applyAlignment="1">
      <alignment wrapText="1"/>
    </xf>
    <xf numFmtId="0" fontId="88" fillId="12" borderId="22" xfId="0" applyFont="1" applyFill="1" applyBorder="1" applyAlignment="1">
      <alignment wrapText="1"/>
    </xf>
    <xf numFmtId="0" fontId="94" fillId="12" borderId="19" xfId="0" applyFont="1" applyFill="1" applyBorder="1" applyAlignment="1">
      <alignment wrapText="1"/>
    </xf>
    <xf numFmtId="0" fontId="88" fillId="12" borderId="24" xfId="0" applyFont="1" applyFill="1" applyBorder="1" applyAlignment="1">
      <alignment wrapText="1"/>
    </xf>
    <xf numFmtId="0" fontId="96" fillId="4" borderId="64" xfId="0" applyFont="1" applyFill="1" applyBorder="1"/>
    <xf numFmtId="0" fontId="96" fillId="0" borderId="64" xfId="0" applyFont="1" applyBorder="1"/>
    <xf numFmtId="0" fontId="94" fillId="8" borderId="65" xfId="0" applyFont="1" applyFill="1" applyBorder="1" applyAlignment="1">
      <alignment horizontal="right"/>
    </xf>
    <xf numFmtId="0" fontId="94" fillId="8" borderId="33" xfId="0" applyFont="1" applyFill="1" applyBorder="1"/>
    <xf numFmtId="0" fontId="88" fillId="0" borderId="0" xfId="0" applyFont="1" applyBorder="1" applyAlignment="1">
      <alignment horizontal="left"/>
    </xf>
    <xf numFmtId="0" fontId="88" fillId="0" borderId="0" xfId="0" applyFont="1" applyBorder="1" applyAlignment="1">
      <alignment horizontal="center" vertical="center" wrapText="1"/>
    </xf>
    <xf numFmtId="0" fontId="94" fillId="7" borderId="55" xfId="0" applyFont="1" applyFill="1" applyBorder="1" applyAlignment="1">
      <alignment horizontal="right"/>
    </xf>
    <xf numFmtId="0" fontId="88" fillId="7" borderId="121" xfId="0" applyFont="1" applyFill="1" applyBorder="1"/>
    <xf numFmtId="0" fontId="94" fillId="7" borderId="0" xfId="0" applyFont="1" applyFill="1" applyBorder="1"/>
    <xf numFmtId="0" fontId="88" fillId="0" borderId="74" xfId="0" applyFont="1" applyBorder="1"/>
    <xf numFmtId="0" fontId="94" fillId="12" borderId="35" xfId="0" applyFont="1" applyFill="1" applyBorder="1" applyAlignment="1">
      <alignment horizontal="left" wrapText="1"/>
    </xf>
    <xf numFmtId="0" fontId="88" fillId="12" borderId="15" xfId="0" applyFont="1" applyFill="1" applyBorder="1" applyAlignment="1">
      <alignment horizontal="center" vertical="center" wrapText="1"/>
    </xf>
    <xf numFmtId="0" fontId="94" fillId="12" borderId="75" xfId="0" applyFont="1" applyFill="1" applyBorder="1" applyAlignment="1">
      <alignment horizontal="right"/>
    </xf>
    <xf numFmtId="0" fontId="88" fillId="12" borderId="15" xfId="0" applyFont="1" applyFill="1" applyBorder="1" applyAlignment="1">
      <alignment wrapText="1"/>
    </xf>
    <xf numFmtId="0" fontId="88" fillId="12" borderId="117" xfId="0" applyFont="1" applyFill="1" applyBorder="1" applyAlignment="1">
      <alignment wrapText="1"/>
    </xf>
    <xf numFmtId="0" fontId="88" fillId="12" borderId="16" xfId="0" applyFont="1" applyFill="1" applyBorder="1" applyAlignment="1">
      <alignment wrapText="1"/>
    </xf>
    <xf numFmtId="0" fontId="94" fillId="12" borderId="76" xfId="0" applyFont="1" applyFill="1" applyBorder="1" applyAlignment="1">
      <alignment wrapText="1"/>
    </xf>
    <xf numFmtId="0" fontId="88" fillId="0" borderId="100" xfId="0" applyFont="1" applyBorder="1"/>
    <xf numFmtId="0" fontId="94" fillId="4" borderId="20" xfId="0" applyFont="1" applyFill="1" applyBorder="1" applyAlignment="1">
      <alignment horizontal="right"/>
    </xf>
    <xf numFmtId="0" fontId="94" fillId="4" borderId="79" xfId="0" applyFont="1" applyFill="1" applyBorder="1"/>
    <xf numFmtId="0" fontId="88" fillId="4" borderId="80" xfId="0" applyFont="1" applyFill="1" applyBorder="1"/>
    <xf numFmtId="0" fontId="94" fillId="7" borderId="20" xfId="0" applyFont="1" applyFill="1" applyBorder="1" applyAlignment="1">
      <alignment horizontal="right"/>
    </xf>
    <xf numFmtId="0" fontId="88" fillId="7" borderId="21" xfId="0" applyFont="1" applyFill="1" applyBorder="1"/>
    <xf numFmtId="0" fontId="88" fillId="7" borderId="24" xfId="0" applyFont="1" applyFill="1" applyBorder="1"/>
    <xf numFmtId="0" fontId="94" fillId="8" borderId="79" xfId="0" applyFont="1" applyFill="1" applyBorder="1"/>
    <xf numFmtId="0" fontId="88" fillId="8" borderId="80" xfId="0" applyFont="1" applyFill="1" applyBorder="1"/>
    <xf numFmtId="0" fontId="94" fillId="7" borderId="83" xfId="0" applyFont="1" applyFill="1" applyBorder="1" applyAlignment="1">
      <alignment horizontal="right"/>
    </xf>
    <xf numFmtId="0" fontId="88" fillId="7" borderId="83" xfId="0" applyFont="1" applyFill="1" applyBorder="1"/>
    <xf numFmtId="0" fontId="94" fillId="8" borderId="85" xfId="0" applyFont="1" applyFill="1" applyBorder="1" applyAlignment="1">
      <alignment horizontal="right"/>
    </xf>
    <xf numFmtId="0" fontId="88" fillId="8" borderId="30" xfId="0" applyFont="1" applyFill="1" applyBorder="1"/>
    <xf numFmtId="0" fontId="88" fillId="8" borderId="86" xfId="0" applyFont="1" applyFill="1" applyBorder="1"/>
    <xf numFmtId="0" fontId="90" fillId="0" borderId="0" xfId="0" applyFont="1" applyFill="1" applyBorder="1" applyAlignment="1">
      <alignment horizontal="left"/>
    </xf>
    <xf numFmtId="0" fontId="87" fillId="13" borderId="0" xfId="0" applyFont="1" applyFill="1" applyAlignment="1"/>
    <xf numFmtId="0" fontId="87" fillId="13" borderId="0" xfId="0" applyFont="1" applyFill="1"/>
    <xf numFmtId="0" fontId="88" fillId="13" borderId="0" xfId="0" applyFont="1" applyFill="1"/>
    <xf numFmtId="0" fontId="88" fillId="13" borderId="12" xfId="0" applyFont="1" applyFill="1" applyBorder="1" applyAlignment="1">
      <alignment horizontal="centerContinuous" wrapText="1"/>
    </xf>
    <xf numFmtId="0" fontId="88" fillId="13" borderId="117" xfId="0" applyFont="1" applyFill="1" applyBorder="1" applyAlignment="1">
      <alignment horizontal="centerContinuous" wrapText="1"/>
    </xf>
    <xf numFmtId="0" fontId="88" fillId="13" borderId="129" xfId="0" applyFont="1" applyFill="1" applyBorder="1" applyAlignment="1">
      <alignment horizontal="centerContinuous" wrapText="1"/>
    </xf>
    <xf numFmtId="0" fontId="88" fillId="13" borderId="57" xfId="0" applyFont="1" applyFill="1" applyBorder="1" applyAlignment="1">
      <alignment wrapText="1"/>
    </xf>
    <xf numFmtId="0" fontId="88" fillId="13" borderId="53" xfId="0" applyFont="1" applyFill="1" applyBorder="1" applyAlignment="1">
      <alignment wrapText="1"/>
    </xf>
    <xf numFmtId="0" fontId="88" fillId="13" borderId="49" xfId="0" applyFont="1" applyFill="1" applyBorder="1" applyAlignment="1">
      <alignment wrapText="1"/>
    </xf>
    <xf numFmtId="0" fontId="94" fillId="13" borderId="19" xfId="0" applyFont="1" applyFill="1" applyBorder="1" applyAlignment="1">
      <alignment wrapText="1"/>
    </xf>
    <xf numFmtId="0" fontId="87" fillId="13" borderId="70" xfId="0" applyFont="1" applyFill="1" applyBorder="1" applyAlignment="1">
      <alignment wrapText="1"/>
    </xf>
    <xf numFmtId="0" fontId="90" fillId="13" borderId="62" xfId="0" applyFont="1" applyFill="1" applyBorder="1" applyAlignment="1">
      <alignment wrapText="1"/>
    </xf>
    <xf numFmtId="0" fontId="90" fillId="13" borderId="15" xfId="0" applyFont="1" applyFill="1" applyBorder="1" applyAlignment="1">
      <alignment wrapText="1"/>
    </xf>
    <xf numFmtId="0" fontId="90" fillId="13" borderId="16" xfId="0" applyFont="1" applyFill="1" applyBorder="1" applyAlignment="1">
      <alignment wrapText="1"/>
    </xf>
    <xf numFmtId="0" fontId="88" fillId="0" borderId="61" xfId="0" applyFont="1" applyFill="1" applyBorder="1"/>
    <xf numFmtId="0" fontId="90" fillId="13" borderId="21" xfId="0" applyFont="1" applyFill="1" applyBorder="1" applyAlignment="1">
      <alignment wrapText="1"/>
    </xf>
    <xf numFmtId="0" fontId="87" fillId="13" borderId="64" xfId="0" applyFont="1" applyFill="1" applyBorder="1" applyAlignment="1">
      <alignment wrapText="1"/>
    </xf>
    <xf numFmtId="0" fontId="90" fillId="13" borderId="20" xfId="0" applyFont="1" applyFill="1" applyBorder="1" applyAlignment="1">
      <alignment wrapText="1"/>
    </xf>
    <xf numFmtId="0" fontId="90" fillId="13" borderId="24" xfId="0" applyFont="1" applyFill="1" applyBorder="1" applyAlignment="1">
      <alignment wrapText="1"/>
    </xf>
    <xf numFmtId="0" fontId="90" fillId="4" borderId="50" xfId="0" applyFont="1" applyFill="1" applyBorder="1"/>
    <xf numFmtId="0" fontId="88" fillId="8" borderId="73" xfId="0" applyFont="1" applyFill="1" applyBorder="1"/>
    <xf numFmtId="0" fontId="88" fillId="7" borderId="20" xfId="0" applyFont="1" applyFill="1" applyBorder="1"/>
    <xf numFmtId="0" fontId="88" fillId="8" borderId="65" xfId="0" applyFont="1" applyFill="1" applyBorder="1"/>
    <xf numFmtId="0" fontId="87" fillId="14" borderId="0" xfId="0" applyFont="1" applyFill="1" applyAlignment="1"/>
    <xf numFmtId="0" fontId="87" fillId="14" borderId="0" xfId="0" applyFont="1" applyFill="1"/>
    <xf numFmtId="0" fontId="88" fillId="14" borderId="0" xfId="0" applyFont="1" applyFill="1"/>
    <xf numFmtId="0" fontId="87" fillId="14" borderId="118" xfId="0" applyFont="1" applyFill="1" applyBorder="1" applyAlignment="1">
      <alignment wrapText="1"/>
    </xf>
    <xf numFmtId="0" fontId="87" fillId="14" borderId="15" xfId="0" applyFont="1" applyFill="1" applyBorder="1" applyAlignment="1">
      <alignment horizontal="center" wrapText="1"/>
    </xf>
    <xf numFmtId="0" fontId="90" fillId="14" borderId="11" xfId="0" applyFont="1" applyFill="1" applyBorder="1" applyAlignment="1">
      <alignment wrapText="1"/>
    </xf>
    <xf numFmtId="0" fontId="90" fillId="14" borderId="39" xfId="0" applyFont="1" applyFill="1" applyBorder="1" applyAlignment="1">
      <alignment wrapText="1"/>
    </xf>
    <xf numFmtId="0" fontId="90" fillId="14" borderId="15" xfId="0" applyFont="1" applyFill="1" applyBorder="1" applyAlignment="1">
      <alignment wrapText="1"/>
    </xf>
    <xf numFmtId="0" fontId="90" fillId="14" borderId="117" xfId="0" applyFont="1" applyFill="1" applyBorder="1" applyAlignment="1">
      <alignment wrapText="1"/>
    </xf>
    <xf numFmtId="0" fontId="90" fillId="14" borderId="88" xfId="0" applyFont="1" applyFill="1" applyBorder="1" applyAlignment="1">
      <alignment wrapText="1"/>
    </xf>
    <xf numFmtId="0" fontId="90" fillId="14" borderId="89" xfId="0" applyFont="1" applyFill="1" applyBorder="1" applyAlignment="1">
      <alignment wrapText="1"/>
    </xf>
    <xf numFmtId="0" fontId="90" fillId="14" borderId="16" xfId="0" applyFont="1" applyFill="1" applyBorder="1" applyAlignment="1">
      <alignment wrapText="1"/>
    </xf>
    <xf numFmtId="0" fontId="88" fillId="4" borderId="90" xfId="0" applyFont="1" applyFill="1" applyBorder="1"/>
    <xf numFmtId="0" fontId="88" fillId="4" borderId="91" xfId="0" applyFont="1" applyFill="1" applyBorder="1"/>
    <xf numFmtId="0" fontId="88" fillId="4" borderId="92" xfId="0" applyFont="1" applyFill="1" applyBorder="1"/>
    <xf numFmtId="0" fontId="88" fillId="0" borderId="90" xfId="0" applyFont="1" applyBorder="1"/>
    <xf numFmtId="0" fontId="88" fillId="0" borderId="91" xfId="0" applyFont="1" applyBorder="1"/>
    <xf numFmtId="0" fontId="88" fillId="0" borderId="92" xfId="0" applyFont="1" applyBorder="1"/>
    <xf numFmtId="0" fontId="88" fillId="0" borderId="93" xfId="0" applyFont="1" applyBorder="1"/>
    <xf numFmtId="0" fontId="88" fillId="0" borderId="78" xfId="0" applyFont="1" applyBorder="1"/>
    <xf numFmtId="0" fontId="88" fillId="0" borderId="94" xfId="0" applyFont="1" applyBorder="1"/>
    <xf numFmtId="0" fontId="88" fillId="0" borderId="83" xfId="0" applyFont="1" applyBorder="1"/>
    <xf numFmtId="0" fontId="88" fillId="0" borderId="95" xfId="0" applyFont="1" applyBorder="1"/>
    <xf numFmtId="0" fontId="88" fillId="0" borderId="96" xfId="0" applyFont="1" applyBorder="1"/>
    <xf numFmtId="0" fontId="88" fillId="0" borderId="97" xfId="0" applyFont="1" applyBorder="1"/>
    <xf numFmtId="0" fontId="87" fillId="11" borderId="118" xfId="0" applyFont="1" applyFill="1" applyBorder="1" applyAlignment="1">
      <alignment horizontal="left" vertical="center" wrapText="1"/>
    </xf>
    <xf numFmtId="0" fontId="87" fillId="11" borderId="15" xfId="0" applyFont="1" applyFill="1" applyBorder="1" applyAlignment="1">
      <alignment wrapText="1"/>
    </xf>
    <xf numFmtId="0" fontId="90" fillId="11" borderId="11" xfId="0" applyFont="1" applyFill="1" applyBorder="1" applyAlignment="1">
      <alignment wrapText="1"/>
    </xf>
    <xf numFmtId="0" fontId="90" fillId="11" borderId="15" xfId="0" applyFont="1" applyFill="1" applyBorder="1" applyAlignment="1">
      <alignment wrapText="1"/>
    </xf>
    <xf numFmtId="0" fontId="90" fillId="11" borderId="16" xfId="0" applyFont="1" applyFill="1" applyBorder="1" applyAlignment="1">
      <alignment wrapText="1"/>
    </xf>
    <xf numFmtId="0" fontId="88" fillId="0" borderId="100" xfId="0" applyFont="1" applyBorder="1" applyAlignment="1"/>
    <xf numFmtId="2" fontId="90" fillId="0" borderId="21" xfId="0" applyNumberFormat="1" applyFont="1" applyBorder="1"/>
    <xf numFmtId="0" fontId="90" fillId="0" borderId="24" xfId="0" applyFont="1" applyBorder="1"/>
    <xf numFmtId="2" fontId="88" fillId="0" borderId="0" xfId="0" applyNumberFormat="1" applyFont="1"/>
    <xf numFmtId="0" fontId="88" fillId="0" borderId="100" xfId="0" applyFont="1" applyBorder="1" applyAlignment="1">
      <alignment wrapText="1"/>
    </xf>
    <xf numFmtId="0" fontId="88" fillId="0" borderId="25" xfId="0" applyFont="1" applyBorder="1" applyAlignment="1"/>
    <xf numFmtId="2" fontId="87" fillId="5" borderId="29" xfId="0" applyNumberFormat="1" applyFont="1" applyFill="1" applyBorder="1" applyAlignment="1">
      <alignment horizontal="right"/>
    </xf>
    <xf numFmtId="0" fontId="87" fillId="5" borderId="29" xfId="0" applyFont="1" applyFill="1" applyBorder="1" applyAlignment="1">
      <alignment horizontal="right"/>
    </xf>
    <xf numFmtId="0" fontId="87" fillId="5" borderId="33" xfId="0" applyFont="1" applyFill="1" applyBorder="1" applyAlignment="1">
      <alignment horizontal="right"/>
    </xf>
    <xf numFmtId="0" fontId="0" fillId="0" borderId="0" xfId="0" applyAlignment="1"/>
    <xf numFmtId="0" fontId="12" fillId="3" borderId="17" xfId="0" applyFont="1" applyFill="1" applyBorder="1" applyAlignment="1">
      <alignment vertical="center" wrapText="1"/>
    </xf>
    <xf numFmtId="0" fontId="12"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0" fillId="4" borderId="19" xfId="0" applyFill="1" applyBorder="1" applyAlignment="1">
      <alignment horizontal="center" vertical="center"/>
    </xf>
    <xf numFmtId="0" fontId="0" fillId="5" borderId="22" xfId="0" applyFill="1" applyBorder="1" applyAlignment="1">
      <alignment horizontal="center"/>
    </xf>
    <xf numFmtId="0" fontId="0" fillId="0" borderId="19" xfId="0"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5" borderId="22" xfId="0" applyFont="1" applyFill="1" applyBorder="1" applyAlignment="1">
      <alignment horizontal="center" vertical="center"/>
    </xf>
    <xf numFmtId="0" fontId="65" fillId="0" borderId="23" xfId="0" applyFont="1" applyBorder="1" applyAlignment="1">
      <alignment horizontal="center" vertical="center"/>
    </xf>
    <xf numFmtId="0" fontId="65" fillId="2" borderId="24" xfId="0" applyFont="1" applyFill="1" applyBorder="1" applyAlignment="1">
      <alignment horizontal="center" vertical="center"/>
    </xf>
    <xf numFmtId="0" fontId="0" fillId="5" borderId="22"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0" fillId="0" borderId="19" xfId="0" applyFill="1" applyBorder="1" applyAlignment="1">
      <alignment horizontal="center" vertical="center"/>
    </xf>
    <xf numFmtId="0" fontId="1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12" fillId="3" borderId="119" xfId="0" applyFont="1" applyFill="1" applyBorder="1" applyAlignment="1">
      <alignment horizontal="center" wrapText="1"/>
    </xf>
    <xf numFmtId="0" fontId="13" fillId="3" borderId="34" xfId="0" applyFont="1" applyFill="1" applyBorder="1" applyAlignment="1">
      <alignment horizontal="center" wrapText="1"/>
    </xf>
    <xf numFmtId="0" fontId="12" fillId="3" borderId="100" xfId="0" applyFont="1" applyFill="1" applyBorder="1" applyAlignment="1">
      <alignment vertical="center" wrapText="1"/>
    </xf>
    <xf numFmtId="0" fontId="15" fillId="3" borderId="22" xfId="0" applyFont="1" applyFill="1" applyBorder="1" applyAlignment="1">
      <alignment horizontal="center" wrapText="1"/>
    </xf>
    <xf numFmtId="0" fontId="0" fillId="4" borderId="22" xfId="0" applyFill="1" applyBorder="1" applyAlignment="1">
      <alignment horizontal="center"/>
    </xf>
    <xf numFmtId="0" fontId="0" fillId="4" borderId="23" xfId="0" applyFill="1" applyBorder="1" applyAlignment="1">
      <alignment horizontal="center"/>
    </xf>
    <xf numFmtId="0" fontId="0" fillId="4" borderId="21" xfId="0" applyFill="1" applyBorder="1" applyAlignment="1">
      <alignment horizontal="center"/>
    </xf>
    <xf numFmtId="0" fontId="0" fillId="5" borderId="24" xfId="0" applyFill="1" applyBorder="1" applyAlignment="1">
      <alignment horizontal="center"/>
    </xf>
    <xf numFmtId="0" fontId="0" fillId="0" borderId="22" xfId="0" applyBorder="1" applyAlignment="1">
      <alignment horizontal="center"/>
    </xf>
    <xf numFmtId="0" fontId="65" fillId="0" borderId="23" xfId="0" applyFont="1" applyBorder="1" applyAlignment="1">
      <alignment horizontal="center"/>
    </xf>
    <xf numFmtId="0" fontId="65" fillId="0" borderId="21" xfId="0" applyFont="1" applyBorder="1" applyAlignment="1">
      <alignment horizontal="center"/>
    </xf>
    <xf numFmtId="3" fontId="65" fillId="0" borderId="23" xfId="0" applyNumberFormat="1" applyFont="1" applyBorder="1" applyAlignment="1">
      <alignment horizontal="center"/>
    </xf>
    <xf numFmtId="3" fontId="65" fillId="0" borderId="21" xfId="0" applyNumberFormat="1" applyFont="1" applyBorder="1" applyAlignment="1">
      <alignment horizontal="center"/>
    </xf>
    <xf numFmtId="3" fontId="0" fillId="5" borderId="24" xfId="0" applyNumberFormat="1" applyFill="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13" fillId="5" borderId="30" xfId="0" applyFont="1" applyFill="1" applyBorder="1" applyAlignment="1">
      <alignment horizontal="center"/>
    </xf>
    <xf numFmtId="3" fontId="3" fillId="5" borderId="31" xfId="0" applyNumberFormat="1" applyFont="1" applyFill="1" applyBorder="1" applyAlignment="1">
      <alignment horizontal="center"/>
    </xf>
    <xf numFmtId="3" fontId="3" fillId="5" borderId="29" xfId="0" applyNumberFormat="1" applyFont="1" applyFill="1" applyBorder="1" applyAlignment="1">
      <alignment horizontal="center"/>
    </xf>
    <xf numFmtId="3" fontId="3" fillId="5" borderId="33" xfId="0" applyNumberFormat="1" applyFont="1" applyFill="1" applyBorder="1" applyAlignment="1">
      <alignment horizontal="center"/>
    </xf>
    <xf numFmtId="0" fontId="12" fillId="6" borderId="118" xfId="0" applyFont="1" applyFill="1" applyBorder="1" applyAlignment="1">
      <alignment vertical="center"/>
    </xf>
    <xf numFmtId="0" fontId="12" fillId="6" borderId="119"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9"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26" fillId="4" borderId="19" xfId="0" applyFont="1" applyFill="1" applyBorder="1" applyAlignment="1">
      <alignment horizontal="center"/>
    </xf>
    <xf numFmtId="0" fontId="26" fillId="0" borderId="19" xfId="0" applyFont="1" applyBorder="1" applyAlignment="1">
      <alignment horizontal="center"/>
    </xf>
    <xf numFmtId="0" fontId="65" fillId="0" borderId="20" xfId="0" applyFont="1" applyFill="1" applyBorder="1" applyAlignment="1">
      <alignment horizontal="center"/>
    </xf>
    <xf numFmtId="0" fontId="65" fillId="0" borderId="22" xfId="0" applyFont="1" applyFill="1" applyBorder="1" applyAlignment="1">
      <alignment horizontal="center"/>
    </xf>
    <xf numFmtId="3" fontId="65" fillId="0" borderId="0" xfId="0" applyNumberFormat="1" applyFont="1" applyAlignment="1">
      <alignment horizontal="center"/>
    </xf>
    <xf numFmtId="3" fontId="65" fillId="0" borderId="20" xfId="0" applyNumberFormat="1" applyFont="1" applyFill="1" applyBorder="1" applyAlignment="1">
      <alignment horizontal="center" vertical="center"/>
    </xf>
    <xf numFmtId="3" fontId="65" fillId="0" borderId="22" xfId="0" applyNumberFormat="1" applyFont="1" applyFill="1" applyBorder="1" applyAlignment="1">
      <alignment horizontal="center" vertical="center"/>
    </xf>
    <xf numFmtId="3" fontId="65" fillId="0" borderId="20" xfId="0" applyNumberFormat="1" applyFont="1" applyBorder="1" applyAlignment="1">
      <alignment horizontal="center"/>
    </xf>
    <xf numFmtId="3" fontId="65" fillId="0" borderId="22" xfId="0" applyNumberFormat="1" applyFont="1" applyBorder="1" applyAlignment="1">
      <alignment horizontal="center"/>
    </xf>
    <xf numFmtId="3" fontId="0" fillId="0" borderId="20" xfId="0" applyNumberFormat="1" applyBorder="1" applyAlignment="1">
      <alignment horizontal="center"/>
    </xf>
    <xf numFmtId="3" fontId="0" fillId="0" borderId="22" xfId="0" applyNumberFormat="1" applyBorder="1" applyAlignment="1">
      <alignment horizontal="center"/>
    </xf>
    <xf numFmtId="0" fontId="13" fillId="5" borderId="27" xfId="0" applyFont="1" applyFill="1" applyBorder="1" applyAlignment="1">
      <alignment horizontal="center"/>
    </xf>
    <xf numFmtId="3" fontId="3" fillId="5" borderId="28" xfId="0" applyNumberFormat="1" applyFont="1" applyFill="1" applyBorder="1" applyAlignment="1">
      <alignment horizontal="center"/>
    </xf>
    <xf numFmtId="3" fontId="3" fillId="5" borderId="30" xfId="0" applyNumberFormat="1" applyFont="1" applyFill="1" applyBorder="1" applyAlignment="1">
      <alignment horizontal="center"/>
    </xf>
    <xf numFmtId="0" fontId="12" fillId="6" borderId="14" xfId="0" applyFont="1" applyFill="1" applyBorder="1" applyAlignment="1">
      <alignment vertical="center"/>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19" xfId="0" applyFont="1" applyFill="1" applyBorder="1" applyAlignment="1">
      <alignment horizontal="center"/>
    </xf>
    <xf numFmtId="0" fontId="65" fillId="0" borderId="21" xfId="0" applyFont="1" applyFill="1" applyBorder="1" applyAlignment="1">
      <alignment horizontal="center" vertical="center"/>
    </xf>
    <xf numFmtId="0" fontId="65" fillId="0" borderId="24" xfId="0" applyFont="1" applyFill="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65" fillId="0" borderId="20" xfId="0" applyFont="1" applyFill="1" applyBorder="1" applyAlignment="1">
      <alignment horizontal="center" vertic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3" fillId="5" borderId="33" xfId="0" applyFont="1" applyFill="1" applyBorder="1" applyAlignment="1">
      <alignment horizontal="center"/>
    </xf>
    <xf numFmtId="0" fontId="29" fillId="6" borderId="48" xfId="0" applyFont="1" applyFill="1" applyBorder="1" applyAlignment="1">
      <alignment horizontal="center" vertical="center" wrapText="1"/>
    </xf>
    <xf numFmtId="0" fontId="28" fillId="6" borderId="117" xfId="0" applyFont="1" applyFill="1" applyBorder="1" applyAlignment="1">
      <alignment horizontal="center" vertical="center" wrapText="1"/>
    </xf>
    <xf numFmtId="0" fontId="28" fillId="6" borderId="120" xfId="0" applyFont="1" applyFill="1" applyBorder="1" applyAlignment="1">
      <alignment horizontal="center" vertical="center" wrapText="1"/>
    </xf>
    <xf numFmtId="0" fontId="12" fillId="6" borderId="78"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28" fillId="6" borderId="49" xfId="0" applyFont="1" applyFill="1" applyBorder="1" applyAlignment="1">
      <alignment horizontal="center" vertical="center" wrapText="1"/>
    </xf>
    <xf numFmtId="0" fontId="28" fillId="6" borderId="53" xfId="0" applyFont="1" applyFill="1" applyBorder="1" applyAlignment="1">
      <alignment horizontal="center" vertical="center" wrapText="1"/>
    </xf>
    <xf numFmtId="0" fontId="30" fillId="6" borderId="53"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33" fillId="4" borderId="19" xfId="0" applyFont="1" applyFill="1" applyBorder="1" applyAlignment="1">
      <alignment horizontal="center"/>
    </xf>
    <xf numFmtId="0" fontId="33" fillId="0" borderId="19" xfId="0" applyFont="1" applyBorder="1" applyAlignment="1">
      <alignment horizontal="center"/>
    </xf>
    <xf numFmtId="0" fontId="33" fillId="0" borderId="21" xfId="0" applyFont="1" applyBorder="1" applyAlignment="1">
      <alignment horizontal="center"/>
    </xf>
    <xf numFmtId="0" fontId="0" fillId="0" borderId="56" xfId="0" applyBorder="1" applyAlignment="1">
      <alignment horizontal="center"/>
    </xf>
    <xf numFmtId="0" fontId="0" fillId="0" borderId="24" xfId="0" applyBorder="1" applyAlignment="1">
      <alignment horizontal="center"/>
    </xf>
    <xf numFmtId="0" fontId="34" fillId="8" borderId="27" xfId="0" applyFont="1" applyFill="1" applyBorder="1" applyAlignment="1">
      <alignment horizontal="center"/>
    </xf>
    <xf numFmtId="0" fontId="3" fillId="8" borderId="29" xfId="0" applyFont="1" applyFill="1" applyBorder="1" applyAlignment="1">
      <alignment horizontal="center"/>
    </xf>
    <xf numFmtId="0" fontId="3" fillId="8" borderId="32" xfId="0" applyFont="1" applyFill="1" applyBorder="1" applyAlignment="1">
      <alignment horizontal="center"/>
    </xf>
    <xf numFmtId="0" fontId="3" fillId="8" borderId="33" xfId="0" applyFont="1" applyFill="1" applyBorder="1" applyAlignment="1">
      <alignment horizontal="center"/>
    </xf>
    <xf numFmtId="0" fontId="12" fillId="6" borderId="118" xfId="0" applyFont="1" applyFill="1" applyBorder="1" applyAlignment="1">
      <alignment horizontal="left" vertical="center"/>
    </xf>
    <xf numFmtId="0" fontId="15" fillId="6" borderId="11"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30" fillId="6" borderId="58"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6" borderId="59" xfId="0" applyFont="1" applyFill="1" applyBorder="1" applyAlignment="1">
      <alignment horizontal="center" vertical="center" wrapText="1"/>
    </xf>
    <xf numFmtId="0" fontId="30" fillId="6" borderId="59" xfId="0" applyFont="1" applyFill="1" applyBorder="1" applyAlignment="1">
      <alignment horizontal="center" vertical="center" wrapText="1"/>
    </xf>
    <xf numFmtId="0" fontId="0" fillId="8" borderId="61" xfId="0" applyFill="1" applyBorder="1" applyAlignment="1">
      <alignment horizontal="center"/>
    </xf>
    <xf numFmtId="0" fontId="26" fillId="0" borderId="21" xfId="0" applyFont="1" applyBorder="1" applyAlignment="1">
      <alignment horizontal="center" vertical="center"/>
    </xf>
    <xf numFmtId="0" fontId="0" fillId="0" borderId="20" xfId="0" applyFill="1" applyBorder="1" applyAlignment="1">
      <alignment horizontal="center" vertical="center"/>
    </xf>
    <xf numFmtId="0" fontId="26" fillId="0" borderId="21" xfId="0" applyFont="1" applyBorder="1" applyAlignment="1">
      <alignment horizontal="center"/>
    </xf>
    <xf numFmtId="0" fontId="0" fillId="0" borderId="20" xfId="0" applyBorder="1" applyAlignment="1">
      <alignment horizontal="center"/>
    </xf>
    <xf numFmtId="0" fontId="3" fillId="8" borderId="29" xfId="0" applyFont="1" applyFill="1" applyBorder="1" applyAlignment="1">
      <alignment horizontal="center" vertical="center"/>
    </xf>
    <xf numFmtId="0" fontId="14" fillId="8" borderId="30" xfId="0" applyFont="1" applyFill="1" applyBorder="1" applyAlignment="1">
      <alignment horizontal="center" vertical="center"/>
    </xf>
    <xf numFmtId="0" fontId="14" fillId="8" borderId="32" xfId="0" applyFont="1" applyFill="1" applyBorder="1" applyAlignment="1">
      <alignment horizontal="center" vertical="center"/>
    </xf>
    <xf numFmtId="0" fontId="3"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12" fillId="9" borderId="118" xfId="0" applyFont="1" applyFill="1" applyBorder="1" applyAlignment="1">
      <alignment horizontal="center" vertical="center" wrapText="1"/>
    </xf>
    <xf numFmtId="0" fontId="36" fillId="9" borderId="119"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15" fillId="9" borderId="62"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3" fillId="8" borderId="27" xfId="0" applyFont="1" applyFill="1" applyBorder="1" applyAlignment="1">
      <alignment horizontal="center"/>
    </xf>
    <xf numFmtId="0" fontId="14" fillId="8" borderId="63" xfId="0" applyFont="1" applyFill="1" applyBorder="1" applyAlignment="1">
      <alignment horizontal="center" vertical="center"/>
    </xf>
    <xf numFmtId="0" fontId="3" fillId="8" borderId="32" xfId="0" applyFont="1" applyFill="1" applyBorder="1" applyAlignment="1">
      <alignment horizontal="center" vertical="center"/>
    </xf>
    <xf numFmtId="0" fontId="65" fillId="0" borderId="56" xfId="0" applyFont="1" applyBorder="1" applyAlignment="1">
      <alignment horizontal="center"/>
    </xf>
    <xf numFmtId="0" fontId="65" fillId="0" borderId="24" xfId="0" applyFont="1" applyBorder="1" applyAlignment="1">
      <alignment horizontal="center"/>
    </xf>
    <xf numFmtId="0" fontId="0" fillId="0" borderId="56"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33" fillId="4" borderId="19" xfId="0" applyFont="1" applyFill="1" applyBorder="1" applyAlignment="1">
      <alignment horizontal="center" vertical="center"/>
    </xf>
    <xf numFmtId="0" fontId="33" fillId="0" borderId="19" xfId="0" applyFont="1" applyBorder="1" applyAlignment="1">
      <alignment horizontal="center" vertical="center"/>
    </xf>
    <xf numFmtId="0" fontId="34" fillId="8" borderId="27" xfId="0" applyFont="1" applyFill="1" applyBorder="1" applyAlignment="1">
      <alignment horizontal="center" vertical="center"/>
    </xf>
    <xf numFmtId="0" fontId="0" fillId="8" borderId="64" xfId="0" applyFont="1" applyFill="1" applyBorder="1" applyAlignment="1">
      <alignment horizontal="center" vertical="center"/>
    </xf>
    <xf numFmtId="0" fontId="0" fillId="0" borderId="0" xfId="0" applyFill="1" applyAlignment="1">
      <alignment horizontal="center"/>
    </xf>
    <xf numFmtId="0" fontId="3" fillId="8" borderId="65" xfId="0" applyFont="1" applyFill="1" applyBorder="1" applyAlignment="1">
      <alignment horizontal="center" vertical="center"/>
    </xf>
    <xf numFmtId="0" fontId="0" fillId="8" borderId="19" xfId="0" applyFill="1" applyBorder="1" applyAlignment="1">
      <alignment horizontal="center"/>
    </xf>
    <xf numFmtId="0" fontId="65" fillId="0" borderId="20" xfId="0" applyFont="1" applyBorder="1" applyAlignment="1">
      <alignment horizontal="center"/>
    </xf>
    <xf numFmtId="0" fontId="65" fillId="8" borderId="19"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56" xfId="0" applyFont="1" applyBorder="1" applyAlignment="1">
      <alignment horizontal="center" vertical="center"/>
    </xf>
    <xf numFmtId="0" fontId="65" fillId="0" borderId="24" xfId="0" applyFont="1" applyBorder="1" applyAlignment="1">
      <alignment horizontal="center" vertical="center"/>
    </xf>
    <xf numFmtId="0" fontId="0" fillId="0" borderId="61" xfId="0" applyFill="1" applyBorder="1" applyAlignment="1">
      <alignment horizontal="center" vertical="center"/>
    </xf>
    <xf numFmtId="0" fontId="0" fillId="0" borderId="61" xfId="0" applyFill="1" applyBorder="1" applyAlignment="1">
      <alignment horizontal="center"/>
    </xf>
    <xf numFmtId="0" fontId="3" fillId="8" borderId="27" xfId="0" applyFont="1" applyFill="1" applyBorder="1" applyAlignment="1">
      <alignment horizontal="center" vertical="center"/>
    </xf>
    <xf numFmtId="0" fontId="3" fillId="8" borderId="63" xfId="0" applyFont="1" applyFill="1" applyBorder="1" applyAlignment="1">
      <alignment horizontal="center" vertical="center"/>
    </xf>
    <xf numFmtId="0" fontId="26" fillId="4" borderId="50" xfId="0" applyFont="1" applyFill="1" applyBorder="1" applyAlignment="1">
      <alignment horizontal="center"/>
    </xf>
    <xf numFmtId="0" fontId="65" fillId="8" borderId="73" xfId="0" applyFont="1" applyFill="1" applyBorder="1" applyAlignment="1">
      <alignment horizontal="center"/>
    </xf>
    <xf numFmtId="0" fontId="67" fillId="0" borderId="19" xfId="0" applyFont="1" applyBorder="1" applyAlignment="1">
      <alignment horizontal="center"/>
    </xf>
    <xf numFmtId="0" fontId="55" fillId="0" borderId="20" xfId="0" applyFont="1" applyBorder="1" applyAlignment="1">
      <alignment horizontal="center"/>
    </xf>
    <xf numFmtId="0" fontId="55" fillId="0" borderId="21" xfId="0" applyFont="1" applyBorder="1" applyAlignment="1">
      <alignment horizontal="center"/>
    </xf>
    <xf numFmtId="0" fontId="55" fillId="8" borderId="73" xfId="0" applyFont="1" applyFill="1" applyBorder="1" applyAlignment="1">
      <alignment horizontal="center"/>
    </xf>
    <xf numFmtId="0" fontId="55" fillId="0" borderId="56" xfId="0" applyFont="1" applyBorder="1" applyAlignment="1">
      <alignment horizontal="center"/>
    </xf>
    <xf numFmtId="0" fontId="55" fillId="0" borderId="24" xfId="0" applyFont="1" applyBorder="1" applyAlignment="1">
      <alignment horizontal="center"/>
    </xf>
    <xf numFmtId="3" fontId="55" fillId="0" borderId="20" xfId="0" applyNumberFormat="1" applyFont="1" applyBorder="1" applyAlignment="1">
      <alignment horizontal="center"/>
    </xf>
    <xf numFmtId="3" fontId="55" fillId="0" borderId="21" xfId="0" applyNumberFormat="1" applyFont="1" applyBorder="1" applyAlignment="1">
      <alignment horizontal="center"/>
    </xf>
    <xf numFmtId="0" fontId="65" fillId="0" borderId="21" xfId="0" applyFont="1" applyBorder="1" applyAlignment="1">
      <alignment horizontal="center" wrapText="1"/>
    </xf>
    <xf numFmtId="0" fontId="13" fillId="8" borderId="27" xfId="0" applyFont="1" applyFill="1" applyBorder="1" applyAlignment="1">
      <alignment horizontal="center" vertical="center"/>
    </xf>
    <xf numFmtId="0" fontId="102" fillId="8" borderId="65" xfId="0" applyFont="1" applyFill="1" applyBorder="1" applyAlignment="1">
      <alignment horizontal="center" vertical="center"/>
    </xf>
    <xf numFmtId="0" fontId="12" fillId="14" borderId="118" xfId="0" applyFont="1" applyFill="1" applyBorder="1" applyAlignment="1">
      <alignment vertical="center" wrapText="1"/>
    </xf>
    <xf numFmtId="0" fontId="12" fillId="14" borderId="15"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26" fillId="4" borderId="19" xfId="0" applyFont="1" applyFill="1" applyBorder="1" applyAlignment="1">
      <alignment horizontal="center" vertical="center"/>
    </xf>
    <xf numFmtId="0" fontId="26" fillId="0" borderId="19" xfId="0" applyFont="1" applyBorder="1" applyAlignment="1">
      <alignment horizontal="center" vertical="center"/>
    </xf>
    <xf numFmtId="0" fontId="65" fillId="0" borderId="19" xfId="0" applyFont="1" applyBorder="1" applyAlignment="1">
      <alignment horizontal="center"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0" fontId="65" fillId="0" borderId="92"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24" xfId="0" applyBorder="1" applyAlignment="1">
      <alignment horizontal="center" vertical="center"/>
    </xf>
    <xf numFmtId="0" fontId="3" fillId="8" borderId="28" xfId="0" applyFont="1" applyFill="1" applyBorder="1" applyAlignment="1">
      <alignment horizontal="center"/>
    </xf>
    <xf numFmtId="0" fontId="24" fillId="11" borderId="15"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15" fillId="11" borderId="16" xfId="0" applyFont="1" applyFill="1" applyBorder="1" applyAlignment="1">
      <alignment horizontal="center" vertical="center" wrapText="1"/>
    </xf>
    <xf numFmtId="165" fontId="103" fillId="0" borderId="21" xfId="0" applyNumberFormat="1" applyFont="1" applyFill="1" applyBorder="1" applyAlignment="1">
      <alignment horizontal="center" vertical="center"/>
    </xf>
    <xf numFmtId="165" fontId="103" fillId="7" borderId="21" xfId="0" applyNumberFormat="1" applyFont="1" applyFill="1" applyBorder="1" applyAlignment="1">
      <alignment horizontal="center" vertical="center"/>
    </xf>
    <xf numFmtId="165" fontId="104" fillId="0" borderId="21" xfId="0" applyNumberFormat="1" applyFont="1" applyFill="1" applyBorder="1" applyAlignment="1">
      <alignment horizontal="center" vertical="center"/>
    </xf>
    <xf numFmtId="165" fontId="26" fillId="0" borderId="21" xfId="2" applyNumberFormat="1" applyFont="1" applyFill="1" applyBorder="1"/>
    <xf numFmtId="165" fontId="104" fillId="0" borderId="21" xfId="0" applyNumberFormat="1" applyFont="1" applyBorder="1"/>
    <xf numFmtId="165" fontId="26" fillId="0" borderId="21" xfId="2" applyNumberFormat="1" applyFont="1" applyBorder="1"/>
    <xf numFmtId="165" fontId="26" fillId="7" borderId="21" xfId="0" applyNumberFormat="1" applyFont="1" applyFill="1" applyBorder="1" applyAlignment="1">
      <alignment horizontal="center" vertical="center"/>
    </xf>
    <xf numFmtId="165" fontId="104" fillId="0" borderId="21" xfId="0" applyNumberFormat="1" applyFont="1" applyBorder="1" applyAlignment="1">
      <alignment vertical="center"/>
    </xf>
    <xf numFmtId="165" fontId="13" fillId="5" borderId="29" xfId="0" applyNumberFormat="1" applyFont="1" applyFill="1" applyBorder="1" applyAlignment="1">
      <alignment horizontal="center" vertical="center"/>
    </xf>
    <xf numFmtId="165" fontId="103" fillId="5" borderId="29" xfId="0" applyNumberFormat="1" applyFont="1" applyFill="1" applyBorder="1" applyAlignment="1">
      <alignment horizontal="center" vertical="center"/>
    </xf>
    <xf numFmtId="0" fontId="13" fillId="5" borderId="29" xfId="0" applyFont="1" applyFill="1" applyBorder="1" applyAlignment="1">
      <alignment horizontal="center" vertical="center"/>
    </xf>
    <xf numFmtId="2" fontId="0" fillId="0" borderId="0" xfId="0" applyNumberFormat="1"/>
    <xf numFmtId="165" fontId="0" fillId="0" borderId="0" xfId="0" applyNumberFormat="1"/>
    <xf numFmtId="0" fontId="51" fillId="0" borderId="0" xfId="0" applyFont="1" applyAlignment="1"/>
    <xf numFmtId="0" fontId="52" fillId="0" borderId="0" xfId="0" applyFont="1" applyAlignment="1"/>
    <xf numFmtId="0" fontId="105" fillId="3" borderId="132" xfId="0" applyFont="1" applyFill="1" applyBorder="1" applyAlignment="1">
      <alignment wrapText="1"/>
    </xf>
    <xf numFmtId="0" fontId="68" fillId="3" borderId="133" xfId="0" applyFont="1" applyFill="1" applyBorder="1" applyAlignment="1">
      <alignment horizontal="centerContinuous" wrapText="1"/>
    </xf>
    <xf numFmtId="0" fontId="68" fillId="3" borderId="133" xfId="0" applyFont="1" applyFill="1" applyBorder="1" applyAlignment="1">
      <alignment horizontal="center" vertical="center"/>
    </xf>
    <xf numFmtId="0" fontId="55" fillId="3" borderId="133" xfId="0" applyFont="1" applyFill="1" applyBorder="1" applyAlignment="1">
      <alignment horizontal="centerContinuous" wrapText="1"/>
    </xf>
    <xf numFmtId="0" fontId="105" fillId="3" borderId="134" xfId="0" applyFont="1" applyFill="1" applyBorder="1" applyAlignment="1">
      <alignment wrapText="1"/>
    </xf>
    <xf numFmtId="0" fontId="106" fillId="3" borderId="133" xfId="0" applyFont="1" applyFill="1" applyBorder="1" applyAlignment="1">
      <alignment horizontal="center" wrapText="1"/>
    </xf>
    <xf numFmtId="0" fontId="107" fillId="3" borderId="135" xfId="0" applyFont="1" applyFill="1" applyBorder="1" applyAlignment="1">
      <alignment horizontal="center" wrapText="1"/>
    </xf>
    <xf numFmtId="0" fontId="108" fillId="3" borderId="133" xfId="0" applyFont="1" applyFill="1" applyBorder="1" applyAlignment="1">
      <alignment wrapText="1"/>
    </xf>
    <xf numFmtId="0" fontId="106" fillId="3" borderId="133" xfId="0" applyFont="1" applyFill="1" applyBorder="1" applyAlignment="1">
      <alignment wrapText="1"/>
    </xf>
    <xf numFmtId="0" fontId="55" fillId="4" borderId="133" xfId="0" applyFont="1" applyFill="1" applyBorder="1"/>
    <xf numFmtId="0" fontId="55" fillId="5" borderId="133" xfId="0" applyFont="1" applyFill="1" applyBorder="1"/>
    <xf numFmtId="0" fontId="55" fillId="0" borderId="133" xfId="0" applyFont="1" applyBorder="1"/>
    <xf numFmtId="0" fontId="55" fillId="7" borderId="133" xfId="0" applyFont="1" applyFill="1" applyBorder="1"/>
    <xf numFmtId="0" fontId="55" fillId="2" borderId="133" xfId="0" applyFont="1" applyFill="1" applyBorder="1"/>
    <xf numFmtId="0" fontId="106" fillId="7" borderId="101" xfId="0" applyFont="1" applyFill="1" applyBorder="1" applyAlignment="1">
      <alignment vertical="center" wrapText="1"/>
    </xf>
    <xf numFmtId="0" fontId="55" fillId="7" borderId="138" xfId="0" applyFont="1" applyFill="1" applyBorder="1" applyAlignment="1">
      <alignment vertical="center" wrapText="1"/>
    </xf>
    <xf numFmtId="0" fontId="109" fillId="0" borderId="133" xfId="0" applyFont="1" applyBorder="1"/>
    <xf numFmtId="0" fontId="109" fillId="2" borderId="133" xfId="0" applyFont="1" applyFill="1" applyBorder="1"/>
    <xf numFmtId="0" fontId="55" fillId="0" borderId="133" xfId="0" applyFont="1" applyFill="1" applyBorder="1"/>
    <xf numFmtId="0" fontId="106" fillId="7" borderId="139" xfId="0" applyFont="1" applyFill="1" applyBorder="1" applyAlignment="1">
      <alignment vertical="center" wrapText="1"/>
    </xf>
    <xf numFmtId="0" fontId="55" fillId="7" borderId="140" xfId="0" applyFont="1" applyFill="1" applyBorder="1" applyAlignment="1">
      <alignment vertical="center" wrapText="1"/>
    </xf>
    <xf numFmtId="0" fontId="68" fillId="5" borderId="133" xfId="0" applyFont="1" applyFill="1" applyBorder="1" applyAlignment="1">
      <alignment horizontal="right"/>
    </xf>
    <xf numFmtId="0" fontId="110" fillId="7" borderId="101" xfId="0" applyFont="1" applyFill="1" applyBorder="1" applyAlignment="1">
      <alignment horizontal="left" vertical="top" wrapText="1"/>
    </xf>
    <xf numFmtId="0" fontId="107" fillId="3" borderId="133" xfId="0" applyFont="1" applyFill="1" applyBorder="1" applyAlignment="1">
      <alignment horizontal="center" wrapText="1"/>
    </xf>
    <xf numFmtId="3" fontId="55" fillId="0" borderId="133" xfId="0" applyNumberFormat="1" applyFont="1" applyBorder="1"/>
    <xf numFmtId="3" fontId="55" fillId="5" borderId="133" xfId="0" applyNumberFormat="1" applyFont="1" applyFill="1" applyBorder="1"/>
    <xf numFmtId="3" fontId="55" fillId="7" borderId="133" xfId="0" applyNumberFormat="1" applyFont="1" applyFill="1" applyBorder="1"/>
    <xf numFmtId="3" fontId="109" fillId="0" borderId="133" xfId="0" applyNumberFormat="1" applyFont="1" applyBorder="1"/>
    <xf numFmtId="0" fontId="55" fillId="0" borderId="0" xfId="0" applyFont="1" applyAlignment="1">
      <alignment vertical="center" wrapText="1"/>
    </xf>
    <xf numFmtId="0" fontId="68" fillId="0" borderId="0" xfId="0" applyFont="1" applyAlignment="1">
      <alignment horizontal="right"/>
    </xf>
    <xf numFmtId="0" fontId="55" fillId="0" borderId="0" xfId="0" applyFont="1"/>
    <xf numFmtId="0" fontId="111" fillId="6" borderId="0" xfId="0" applyFont="1" applyFill="1"/>
    <xf numFmtId="0" fontId="55" fillId="6" borderId="0" xfId="0" applyFont="1" applyFill="1"/>
    <xf numFmtId="0" fontId="55" fillId="0" borderId="0" xfId="0" applyFont="1" applyFill="1" applyBorder="1"/>
    <xf numFmtId="0" fontId="105" fillId="6" borderId="133" xfId="0" applyFont="1" applyFill="1" applyBorder="1"/>
    <xf numFmtId="0" fontId="105" fillId="6" borderId="133" xfId="0" applyFont="1" applyFill="1" applyBorder="1" applyAlignment="1">
      <alignment horizontal="center" wrapText="1"/>
    </xf>
    <xf numFmtId="0" fontId="105" fillId="6" borderId="133" xfId="0" applyFont="1" applyFill="1" applyBorder="1" applyAlignment="1">
      <alignment horizontal="center"/>
    </xf>
    <xf numFmtId="0" fontId="106" fillId="6" borderId="133" xfId="0" applyFont="1" applyFill="1" applyBorder="1" applyAlignment="1">
      <alignment horizontal="center" wrapText="1"/>
    </xf>
    <xf numFmtId="0" fontId="67" fillId="4" borderId="133" xfId="0" applyFont="1" applyFill="1" applyBorder="1"/>
    <xf numFmtId="0" fontId="67" fillId="0" borderId="133" xfId="0" applyFont="1" applyBorder="1"/>
    <xf numFmtId="0" fontId="67" fillId="7" borderId="133" xfId="0" applyFont="1" applyFill="1" applyBorder="1"/>
    <xf numFmtId="0" fontId="106" fillId="0" borderId="101" xfId="0" applyFont="1" applyBorder="1" applyAlignment="1">
      <alignment vertical="top" wrapText="1"/>
    </xf>
    <xf numFmtId="0" fontId="55" fillId="0" borderId="138" xfId="0" applyFont="1" applyBorder="1" applyAlignment="1">
      <alignment vertical="top" wrapText="1"/>
    </xf>
    <xf numFmtId="0" fontId="106" fillId="0" borderId="139" xfId="0" applyFont="1" applyBorder="1" applyAlignment="1">
      <alignment vertical="top" wrapText="1"/>
    </xf>
    <xf numFmtId="0" fontId="55" fillId="0" borderId="140" xfId="0" applyFont="1" applyBorder="1" applyAlignment="1">
      <alignment vertical="top" wrapText="1"/>
    </xf>
    <xf numFmtId="0" fontId="105" fillId="6" borderId="132" xfId="0" applyFont="1" applyFill="1" applyBorder="1"/>
    <xf numFmtId="0" fontId="105" fillId="6" borderId="132" xfId="0" applyFont="1" applyFill="1" applyBorder="1" applyAlignment="1">
      <alignment horizontal="center" wrapText="1"/>
    </xf>
    <xf numFmtId="0" fontId="106" fillId="4" borderId="141" xfId="0" applyFont="1" applyFill="1" applyBorder="1"/>
    <xf numFmtId="0" fontId="67" fillId="0" borderId="141" xfId="0" applyFont="1" applyBorder="1"/>
    <xf numFmtId="0" fontId="68" fillId="5" borderId="141" xfId="0" applyFont="1" applyFill="1" applyBorder="1" applyAlignment="1">
      <alignment horizontal="right"/>
    </xf>
    <xf numFmtId="0" fontId="113" fillId="6" borderId="133" xfId="0" applyFont="1" applyFill="1" applyBorder="1" applyAlignment="1">
      <alignment horizontal="centerContinuous" wrapText="1"/>
    </xf>
    <xf numFmtId="0" fontId="114" fillId="6" borderId="133" xfId="0" applyFont="1" applyFill="1" applyBorder="1" applyAlignment="1">
      <alignment horizontal="centerContinuous" wrapText="1"/>
    </xf>
    <xf numFmtId="0" fontId="115" fillId="6" borderId="133" xfId="0" applyFont="1" applyFill="1" applyBorder="1" applyAlignment="1">
      <alignment wrapText="1"/>
    </xf>
    <xf numFmtId="0" fontId="114" fillId="6" borderId="133" xfId="0" applyFont="1" applyFill="1" applyBorder="1" applyAlignment="1">
      <alignment wrapText="1"/>
    </xf>
    <xf numFmtId="0" fontId="113" fillId="0" borderId="101" xfId="0" applyFont="1" applyBorder="1" applyAlignment="1">
      <alignment horizontal="left" vertical="center" wrapText="1"/>
    </xf>
    <xf numFmtId="0" fontId="55" fillId="0" borderId="0" xfId="0" applyFont="1" applyBorder="1" applyAlignment="1">
      <alignment horizontal="left"/>
    </xf>
    <xf numFmtId="0" fontId="109" fillId="8" borderId="133" xfId="0" applyFont="1" applyFill="1" applyBorder="1" applyAlignment="1">
      <alignment horizontal="right"/>
    </xf>
    <xf numFmtId="0" fontId="55" fillId="8" borderId="133" xfId="0" applyFont="1" applyFill="1" applyBorder="1" applyAlignment="1">
      <alignment horizontal="right"/>
    </xf>
    <xf numFmtId="0" fontId="55" fillId="8" borderId="133" xfId="0" applyFont="1" applyFill="1" applyBorder="1"/>
    <xf numFmtId="0" fontId="106" fillId="6" borderId="133" xfId="0" applyFont="1" applyFill="1" applyBorder="1" applyAlignment="1">
      <alignment wrapText="1"/>
    </xf>
    <xf numFmtId="0" fontId="107" fillId="6" borderId="133" xfId="0" applyFont="1" applyFill="1" applyBorder="1" applyAlignment="1">
      <alignment wrapText="1"/>
    </xf>
    <xf numFmtId="0" fontId="68" fillId="0" borderId="133" xfId="0" applyFont="1" applyBorder="1"/>
    <xf numFmtId="0" fontId="68" fillId="8" borderId="133" xfId="0" applyFont="1" applyFill="1" applyBorder="1" applyAlignment="1">
      <alignment horizontal="right"/>
    </xf>
    <xf numFmtId="0" fontId="12" fillId="9" borderId="133" xfId="0" applyFont="1" applyFill="1" applyBorder="1" applyAlignment="1">
      <alignment wrapText="1"/>
    </xf>
    <xf numFmtId="0" fontId="36" fillId="9" borderId="133" xfId="0" applyFont="1" applyFill="1" applyBorder="1" applyAlignment="1">
      <alignment horizontal="center" wrapText="1"/>
    </xf>
    <xf numFmtId="0" fontId="24" fillId="9" borderId="133" xfId="0" applyFont="1" applyFill="1" applyBorder="1" applyAlignment="1">
      <alignment horizontal="center" wrapText="1"/>
    </xf>
    <xf numFmtId="0" fontId="16" fillId="9" borderId="133" xfId="0" applyFont="1" applyFill="1" applyBorder="1" applyAlignment="1">
      <alignment wrapText="1"/>
    </xf>
    <xf numFmtId="0" fontId="15" fillId="9" borderId="133" xfId="0" applyFont="1" applyFill="1" applyBorder="1" applyAlignment="1">
      <alignment wrapText="1"/>
    </xf>
    <xf numFmtId="0" fontId="26" fillId="4" borderId="133" xfId="0" applyFont="1" applyFill="1" applyBorder="1"/>
    <xf numFmtId="0" fontId="0" fillId="4" borderId="133" xfId="0" applyFill="1" applyBorder="1"/>
    <xf numFmtId="0" fontId="26" fillId="0" borderId="133" xfId="0" applyFont="1" applyBorder="1"/>
    <xf numFmtId="0" fontId="0" fillId="0" borderId="133" xfId="0" applyBorder="1"/>
    <xf numFmtId="0" fontId="2" fillId="0" borderId="133" xfId="0" applyFont="1" applyBorder="1"/>
    <xf numFmtId="0" fontId="65" fillId="0" borderId="133" xfId="0" applyFont="1" applyBorder="1"/>
    <xf numFmtId="0" fontId="13" fillId="8" borderId="133" xfId="0" applyFont="1" applyFill="1" applyBorder="1" applyAlignment="1">
      <alignment horizontal="right"/>
    </xf>
    <xf numFmtId="0" fontId="13" fillId="8" borderId="133" xfId="0" applyFont="1" applyFill="1" applyBorder="1"/>
    <xf numFmtId="0" fontId="0" fillId="8" borderId="133" xfId="0" applyFill="1" applyBorder="1"/>
    <xf numFmtId="0" fontId="113" fillId="11" borderId="133" xfId="0" applyFont="1" applyFill="1" applyBorder="1" applyAlignment="1">
      <alignment horizontal="centerContinuous" wrapText="1"/>
    </xf>
    <xf numFmtId="0" fontId="114" fillId="11" borderId="133" xfId="0" applyFont="1" applyFill="1" applyBorder="1" applyAlignment="1">
      <alignment wrapText="1"/>
    </xf>
    <xf numFmtId="0" fontId="115" fillId="11" borderId="133" xfId="0" applyFont="1" applyFill="1" applyBorder="1" applyAlignment="1">
      <alignment wrapText="1"/>
    </xf>
    <xf numFmtId="0" fontId="120" fillId="11" borderId="133" xfId="0" applyFont="1" applyFill="1" applyBorder="1" applyAlignment="1">
      <alignment wrapText="1"/>
    </xf>
    <xf numFmtId="0" fontId="113" fillId="0" borderId="132" xfId="0" applyFont="1" applyBorder="1" applyAlignment="1">
      <alignment vertical="center" wrapText="1"/>
    </xf>
    <xf numFmtId="0" fontId="114" fillId="0" borderId="134" xfId="0" applyFont="1" applyBorder="1" applyAlignment="1">
      <alignment vertical="center" wrapText="1"/>
    </xf>
    <xf numFmtId="0" fontId="114" fillId="7" borderId="134" xfId="0" applyFont="1" applyFill="1" applyBorder="1" applyAlignment="1">
      <alignment vertical="center" wrapText="1"/>
    </xf>
    <xf numFmtId="0" fontId="114" fillId="7" borderId="142" xfId="0" applyFont="1" applyFill="1" applyBorder="1" applyAlignment="1"/>
    <xf numFmtId="0" fontId="114" fillId="0" borderId="0" xfId="0" applyFont="1" applyBorder="1" applyAlignment="1">
      <alignment horizontal="left" vertical="center" wrapText="1"/>
    </xf>
    <xf numFmtId="0" fontId="31" fillId="0" borderId="0" xfId="0" applyFont="1" applyBorder="1" applyAlignment="1">
      <alignment horizontal="left" vertical="center" wrapText="1"/>
    </xf>
    <xf numFmtId="0" fontId="114" fillId="11" borderId="133" xfId="0" applyFont="1" applyFill="1" applyBorder="1" applyAlignment="1">
      <alignment horizontal="centerContinuous" wrapText="1"/>
    </xf>
    <xf numFmtId="0" fontId="106" fillId="11" borderId="133" xfId="0" applyFont="1" applyFill="1" applyBorder="1" applyAlignment="1">
      <alignment wrapText="1"/>
    </xf>
    <xf numFmtId="0" fontId="113" fillId="11" borderId="133" xfId="0" applyFont="1" applyFill="1" applyBorder="1" applyAlignment="1">
      <alignment wrapText="1"/>
    </xf>
    <xf numFmtId="0" fontId="109" fillId="8" borderId="133" xfId="0" applyFont="1" applyFill="1" applyBorder="1"/>
    <xf numFmtId="0" fontId="114" fillId="12" borderId="133" xfId="0" applyFont="1" applyFill="1" applyBorder="1" applyAlignment="1">
      <alignment horizontal="centerContinuous" wrapText="1"/>
    </xf>
    <xf numFmtId="0" fontId="113" fillId="12" borderId="133" xfId="0" applyFont="1" applyFill="1" applyBorder="1" applyAlignment="1">
      <alignment wrapText="1"/>
    </xf>
    <xf numFmtId="0" fontId="115" fillId="12" borderId="133" xfId="0" applyFont="1" applyFill="1" applyBorder="1" applyAlignment="1">
      <alignment wrapText="1"/>
    </xf>
    <xf numFmtId="0" fontId="114" fillId="12" borderId="133" xfId="0" applyFont="1" applyFill="1" applyBorder="1" applyAlignment="1">
      <alignment wrapText="1"/>
    </xf>
    <xf numFmtId="0" fontId="120" fillId="12" borderId="133" xfId="0" applyFont="1" applyFill="1" applyBorder="1" applyAlignment="1">
      <alignment wrapText="1"/>
    </xf>
    <xf numFmtId="0" fontId="122" fillId="12" borderId="133" xfId="0" applyFont="1" applyFill="1" applyBorder="1" applyAlignment="1">
      <alignment horizontal="left" wrapText="1"/>
    </xf>
    <xf numFmtId="0" fontId="84" fillId="12" borderId="133" xfId="0" applyFont="1" applyFill="1" applyBorder="1" applyAlignment="1">
      <alignment horizontal="center" vertical="center" wrapText="1"/>
    </xf>
    <xf numFmtId="0" fontId="102" fillId="12" borderId="133" xfId="0" applyFont="1" applyFill="1" applyBorder="1" applyAlignment="1">
      <alignment horizontal="right"/>
    </xf>
    <xf numFmtId="0" fontId="65" fillId="12" borderId="133" xfId="0" applyFont="1" applyFill="1" applyBorder="1" applyAlignment="1">
      <alignment wrapText="1"/>
    </xf>
    <xf numFmtId="0" fontId="102" fillId="12" borderId="133" xfId="0" applyFont="1" applyFill="1" applyBorder="1" applyAlignment="1">
      <alignment wrapText="1"/>
    </xf>
    <xf numFmtId="0" fontId="102" fillId="4" borderId="133" xfId="0" applyFont="1" applyFill="1" applyBorder="1" applyAlignment="1">
      <alignment horizontal="right"/>
    </xf>
    <xf numFmtId="0" fontId="65" fillId="4" borderId="133" xfId="0" applyFont="1" applyFill="1" applyBorder="1"/>
    <xf numFmtId="0" fontId="102" fillId="4" borderId="133" xfId="0" applyFont="1" applyFill="1" applyBorder="1"/>
    <xf numFmtId="0" fontId="102" fillId="7" borderId="133" xfId="0" applyFont="1" applyFill="1" applyBorder="1" applyAlignment="1">
      <alignment horizontal="right"/>
    </xf>
    <xf numFmtId="0" fontId="65" fillId="7" borderId="133" xfId="0" applyFont="1" applyFill="1" applyBorder="1"/>
    <xf numFmtId="0" fontId="102" fillId="8" borderId="133" xfId="0" applyFont="1" applyFill="1" applyBorder="1"/>
    <xf numFmtId="0" fontId="65" fillId="8" borderId="133" xfId="0" applyFont="1" applyFill="1" applyBorder="1"/>
    <xf numFmtId="0" fontId="102" fillId="8" borderId="133" xfId="0" applyFont="1" applyFill="1" applyBorder="1" applyAlignment="1">
      <alignment horizontal="right"/>
    </xf>
    <xf numFmtId="0" fontId="114" fillId="13" borderId="133" xfId="0" applyFont="1" applyFill="1" applyBorder="1" applyAlignment="1">
      <alignment horizontal="centerContinuous" wrapText="1"/>
    </xf>
    <xf numFmtId="0" fontId="114" fillId="13" borderId="133" xfId="0" applyFont="1" applyFill="1" applyBorder="1" applyAlignment="1">
      <alignment wrapText="1"/>
    </xf>
    <xf numFmtId="0" fontId="113" fillId="13" borderId="133" xfId="0" applyFont="1" applyFill="1" applyBorder="1" applyAlignment="1">
      <alignment wrapText="1"/>
    </xf>
    <xf numFmtId="0" fontId="107" fillId="13" borderId="133" xfId="0" applyFont="1" applyFill="1" applyBorder="1" applyAlignment="1">
      <alignment wrapText="1"/>
    </xf>
    <xf numFmtId="0" fontId="106" fillId="13" borderId="133" xfId="0" applyFont="1" applyFill="1" applyBorder="1" applyAlignment="1">
      <alignment wrapText="1"/>
    </xf>
    <xf numFmtId="0" fontId="107" fillId="0" borderId="100" xfId="0" applyFont="1" applyBorder="1" applyAlignment="1">
      <alignment vertical="center" wrapText="1"/>
    </xf>
    <xf numFmtId="0" fontId="55" fillId="0" borderId="0" xfId="0" applyFont="1" applyBorder="1" applyAlignment="1">
      <alignment vertical="center" wrapText="1"/>
    </xf>
    <xf numFmtId="0" fontId="106" fillId="0" borderId="100" xfId="0" applyFont="1" applyBorder="1" applyAlignment="1">
      <alignment vertical="center" wrapText="1"/>
    </xf>
    <xf numFmtId="0" fontId="107" fillId="0" borderId="38" xfId="0" applyFont="1" applyBorder="1" applyAlignment="1">
      <alignment vertical="center" wrapText="1"/>
    </xf>
    <xf numFmtId="0" fontId="55" fillId="0" borderId="74" xfId="0" applyFont="1" applyBorder="1" applyAlignment="1">
      <alignment vertical="center" wrapText="1"/>
    </xf>
    <xf numFmtId="0" fontId="0" fillId="14" borderId="0" xfId="0" applyFill="1" applyBorder="1"/>
    <xf numFmtId="0" fontId="13" fillId="7" borderId="0" xfId="0" applyFont="1" applyFill="1"/>
    <xf numFmtId="0" fontId="12" fillId="14" borderId="133" xfId="0" applyFont="1" applyFill="1" applyBorder="1" applyAlignment="1">
      <alignment wrapText="1"/>
    </xf>
    <xf numFmtId="0" fontId="12" fillId="14" borderId="133" xfId="0" applyFont="1" applyFill="1" applyBorder="1" applyAlignment="1">
      <alignment horizontal="center" wrapText="1"/>
    </xf>
    <xf numFmtId="0" fontId="15" fillId="14" borderId="133" xfId="0" applyFont="1" applyFill="1" applyBorder="1" applyAlignment="1">
      <alignment wrapText="1"/>
    </xf>
    <xf numFmtId="0" fontId="105" fillId="11" borderId="133" xfId="0" applyFont="1" applyFill="1" applyBorder="1" applyAlignment="1">
      <alignment horizontal="left" vertical="center" wrapText="1"/>
    </xf>
    <xf numFmtId="0" fontId="105" fillId="11" borderId="133" xfId="0" applyFont="1" applyFill="1" applyBorder="1" applyAlignment="1">
      <alignment wrapText="1"/>
    </xf>
    <xf numFmtId="0" fontId="55" fillId="7" borderId="133" xfId="0" applyFont="1" applyFill="1" applyBorder="1" applyAlignment="1">
      <alignment vertical="center" wrapText="1"/>
    </xf>
    <xf numFmtId="4" fontId="67" fillId="7" borderId="133" xfId="0" applyNumberFormat="1" applyFont="1" applyFill="1" applyBorder="1" applyAlignment="1">
      <alignment horizontal="right" vertical="center"/>
    </xf>
    <xf numFmtId="4" fontId="67" fillId="0" borderId="133" xfId="0" applyNumberFormat="1" applyFont="1" applyBorder="1" applyAlignment="1">
      <alignment horizontal="right" vertical="center"/>
    </xf>
    <xf numFmtId="0" fontId="55" fillId="7" borderId="134" xfId="0" applyFont="1" applyFill="1" applyBorder="1" applyAlignment="1">
      <alignment vertical="center" wrapText="1"/>
    </xf>
    <xf numFmtId="0" fontId="55" fillId="0" borderId="142" xfId="0" applyFont="1" applyBorder="1"/>
    <xf numFmtId="4" fontId="68" fillId="5" borderId="133" xfId="0" applyNumberFormat="1" applyFont="1" applyFill="1" applyBorder="1" applyAlignment="1">
      <alignment horizontal="right"/>
    </xf>
    <xf numFmtId="4" fontId="0" fillId="7" borderId="0" xfId="0" applyNumberFormat="1" applyFill="1"/>
    <xf numFmtId="0" fontId="0" fillId="7" borderId="0" xfId="0" applyFill="1" applyBorder="1" applyAlignment="1">
      <alignment vertical="center" wrapText="1"/>
    </xf>
    <xf numFmtId="167" fontId="126" fillId="0" borderId="0" xfId="3" applyFont="1"/>
    <xf numFmtId="167" fontId="127" fillId="0" borderId="0" xfId="3" applyFont="1"/>
    <xf numFmtId="167" fontId="127" fillId="0" borderId="0" xfId="3" applyFont="1" applyBorder="1"/>
    <xf numFmtId="167" fontId="125" fillId="0" borderId="0" xfId="3"/>
    <xf numFmtId="167" fontId="133" fillId="17" borderId="0" xfId="3" applyFont="1" applyFill="1"/>
    <xf numFmtId="167" fontId="125" fillId="17" borderId="0" xfId="3" applyFill="1"/>
    <xf numFmtId="167" fontId="125" fillId="0" borderId="0" xfId="3" applyBorder="1"/>
    <xf numFmtId="167" fontId="134" fillId="17" borderId="146" xfId="3" applyFont="1" applyFill="1" applyBorder="1" applyAlignment="1">
      <alignment wrapText="1"/>
    </xf>
    <xf numFmtId="167" fontId="134" fillId="17" borderId="147" xfId="3" applyFont="1" applyFill="1" applyBorder="1" applyAlignment="1">
      <alignment wrapText="1"/>
    </xf>
    <xf numFmtId="167" fontId="135" fillId="17" borderId="148" xfId="3" applyFont="1" applyFill="1" applyBorder="1" applyAlignment="1">
      <alignment horizontal="center" wrapText="1"/>
    </xf>
    <xf numFmtId="167" fontId="135" fillId="17" borderId="148" xfId="3" applyFont="1" applyFill="1" applyBorder="1" applyAlignment="1">
      <alignment horizontal="center" vertical="center"/>
    </xf>
    <xf numFmtId="167" fontId="125" fillId="17" borderId="148" xfId="3" applyFill="1" applyBorder="1" applyAlignment="1">
      <alignment horizontal="center" wrapText="1"/>
    </xf>
    <xf numFmtId="167" fontId="135" fillId="0" borderId="0" xfId="3" applyFont="1" applyFill="1" applyBorder="1" applyAlignment="1">
      <alignment horizontal="center" wrapText="1"/>
    </xf>
    <xf numFmtId="167" fontId="125" fillId="0" borderId="0" xfId="3" applyFill="1" applyBorder="1" applyAlignment="1">
      <alignment horizontal="center" wrapText="1"/>
    </xf>
    <xf numFmtId="167" fontId="125" fillId="0" borderId="0" xfId="3" applyBorder="1" applyAlignment="1">
      <alignment wrapText="1"/>
    </xf>
    <xf numFmtId="167" fontId="134" fillId="17" borderId="150" xfId="3" applyFont="1" applyFill="1" applyBorder="1" applyAlignment="1">
      <alignment wrapText="1"/>
    </xf>
    <xf numFmtId="167" fontId="134" fillId="17" borderId="150" xfId="3" applyFont="1" applyFill="1" applyBorder="1" applyAlignment="1">
      <alignment horizontal="center" wrapText="1"/>
    </xf>
    <xf numFmtId="167" fontId="136" fillId="17" borderId="148" xfId="3" applyFont="1" applyFill="1" applyBorder="1" applyAlignment="1">
      <alignment wrapText="1"/>
    </xf>
    <xf numFmtId="167" fontId="136" fillId="17" borderId="151" xfId="3" applyFont="1" applyFill="1" applyBorder="1" applyAlignment="1">
      <alignment horizontal="center" wrapText="1"/>
    </xf>
    <xf numFmtId="167" fontId="136" fillId="17" borderId="148" xfId="3" applyFont="1" applyFill="1" applyBorder="1" applyAlignment="1">
      <alignment horizontal="center" wrapText="1"/>
    </xf>
    <xf numFmtId="167" fontId="137" fillId="17" borderId="149" xfId="3" applyFont="1" applyFill="1" applyBorder="1" applyAlignment="1">
      <alignment horizontal="center" wrapText="1"/>
    </xf>
    <xf numFmtId="167" fontId="138" fillId="17" borderId="148" xfId="3" applyFont="1" applyFill="1" applyBorder="1" applyAlignment="1">
      <alignment wrapText="1"/>
    </xf>
    <xf numFmtId="167" fontId="136" fillId="0" borderId="0" xfId="3" applyFont="1" applyFill="1" applyBorder="1" applyAlignment="1">
      <alignment wrapText="1"/>
    </xf>
    <xf numFmtId="167" fontId="125" fillId="0" borderId="0" xfId="3" applyAlignment="1">
      <alignment wrapText="1"/>
    </xf>
    <xf numFmtId="167" fontId="125" fillId="18" borderId="148" xfId="3" applyFill="1" applyBorder="1"/>
    <xf numFmtId="167" fontId="125" fillId="18" borderId="151" xfId="3" applyFill="1" applyBorder="1"/>
    <xf numFmtId="167" fontId="125" fillId="19" borderId="149" xfId="3" applyFill="1" applyBorder="1"/>
    <xf numFmtId="167" fontId="125" fillId="0" borderId="0" xfId="3" applyFill="1" applyBorder="1"/>
    <xf numFmtId="167" fontId="125" fillId="0" borderId="148" xfId="3" applyBorder="1"/>
    <xf numFmtId="167" fontId="125" fillId="7" borderId="151" xfId="3" applyFill="1" applyBorder="1"/>
    <xf numFmtId="167" fontId="125" fillId="20" borderId="148" xfId="3" applyFill="1" applyBorder="1"/>
    <xf numFmtId="167" fontId="125" fillId="0" borderId="151" xfId="3" applyBorder="1"/>
    <xf numFmtId="167" fontId="125" fillId="16" borderId="148" xfId="3" applyFill="1" applyBorder="1"/>
    <xf numFmtId="167" fontId="125" fillId="0" borderId="148" xfId="3" applyFill="1" applyBorder="1"/>
    <xf numFmtId="167" fontId="135" fillId="19" borderId="148" xfId="3" applyFont="1" applyFill="1" applyBorder="1" applyAlignment="1">
      <alignment horizontal="right"/>
    </xf>
    <xf numFmtId="167" fontId="125" fillId="19" borderId="151" xfId="3" applyFill="1" applyBorder="1"/>
    <xf numFmtId="167" fontId="125" fillId="19" borderId="148" xfId="3" applyFill="1" applyBorder="1"/>
    <xf numFmtId="167" fontId="125" fillId="19" borderId="156" xfId="3" applyFill="1" applyBorder="1"/>
    <xf numFmtId="167" fontId="135" fillId="0" borderId="0" xfId="3" applyFont="1" applyAlignment="1">
      <alignment horizontal="right"/>
    </xf>
    <xf numFmtId="167" fontId="135" fillId="17" borderId="149" xfId="3" applyFont="1" applyFill="1" applyBorder="1" applyAlignment="1">
      <alignment horizontal="center" wrapText="1"/>
    </xf>
    <xf numFmtId="167" fontId="134" fillId="17" borderId="152" xfId="3" applyFont="1" applyFill="1" applyBorder="1" applyAlignment="1">
      <alignment wrapText="1"/>
    </xf>
    <xf numFmtId="167" fontId="136" fillId="17" borderId="149" xfId="3" applyFont="1" applyFill="1" applyBorder="1" applyAlignment="1">
      <alignment wrapText="1"/>
    </xf>
    <xf numFmtId="167" fontId="137" fillId="17" borderId="148" xfId="3" applyFont="1" applyFill="1" applyBorder="1" applyAlignment="1">
      <alignment horizontal="center" wrapText="1"/>
    </xf>
    <xf numFmtId="167" fontId="125" fillId="18" borderId="149" xfId="3" applyFill="1" applyBorder="1"/>
    <xf numFmtId="167" fontId="125" fillId="0" borderId="149" xfId="3" applyBorder="1"/>
    <xf numFmtId="0" fontId="125" fillId="0" borderId="148" xfId="3" applyNumberFormat="1" applyBorder="1"/>
    <xf numFmtId="0" fontId="125" fillId="19" borderId="148" xfId="3" applyNumberFormat="1" applyFill="1" applyBorder="1"/>
    <xf numFmtId="3" fontId="125" fillId="0" borderId="148" xfId="3" applyNumberFormat="1" applyBorder="1" applyAlignment="1">
      <alignment horizontal="right"/>
    </xf>
    <xf numFmtId="0" fontId="125" fillId="19" borderId="148" xfId="3" applyNumberFormat="1" applyFill="1" applyBorder="1" applyAlignment="1">
      <alignment horizontal="right"/>
    </xf>
    <xf numFmtId="3" fontId="125" fillId="19" borderId="148" xfId="3" applyNumberFormat="1" applyFill="1" applyBorder="1" applyAlignment="1">
      <alignment horizontal="right"/>
    </xf>
    <xf numFmtId="0" fontId="125" fillId="0" borderId="148" xfId="3" applyNumberFormat="1" applyBorder="1" applyAlignment="1">
      <alignment horizontal="right"/>
    </xf>
    <xf numFmtId="167" fontId="125" fillId="0" borderId="149" xfId="3" applyFill="1" applyBorder="1"/>
    <xf numFmtId="167" fontId="135" fillId="19" borderId="149" xfId="3" applyFont="1" applyFill="1" applyBorder="1" applyAlignment="1">
      <alignment horizontal="right"/>
    </xf>
    <xf numFmtId="167" fontId="125" fillId="0" borderId="0" xfId="3" applyAlignment="1">
      <alignment vertical="center" wrapText="1"/>
    </xf>
    <xf numFmtId="167" fontId="133" fillId="21" borderId="0" xfId="3" applyFont="1" applyFill="1"/>
    <xf numFmtId="167" fontId="125" fillId="21" borderId="0" xfId="3" applyFill="1"/>
    <xf numFmtId="167" fontId="125" fillId="0" borderId="0" xfId="3" applyFill="1"/>
    <xf numFmtId="167" fontId="134" fillId="21" borderId="146" xfId="3" applyFont="1" applyFill="1" applyBorder="1"/>
    <xf numFmtId="167" fontId="134" fillId="21" borderId="147" xfId="3" applyFont="1" applyFill="1" applyBorder="1" applyAlignment="1">
      <alignment horizontal="center" wrapText="1"/>
    </xf>
    <xf numFmtId="167" fontId="136" fillId="21" borderId="148" xfId="3" applyFont="1" applyFill="1" applyBorder="1"/>
    <xf numFmtId="167" fontId="136" fillId="21" borderId="151" xfId="3" applyFont="1" applyFill="1" applyBorder="1" applyAlignment="1">
      <alignment horizontal="center" wrapText="1"/>
    </xf>
    <xf numFmtId="167" fontId="136" fillId="21" borderId="148" xfId="3" applyFont="1" applyFill="1" applyBorder="1" applyAlignment="1">
      <alignment horizontal="center" wrapText="1"/>
    </xf>
    <xf numFmtId="167" fontId="136" fillId="16" borderId="0" xfId="3" applyFont="1" applyFill="1" applyBorder="1" applyAlignment="1">
      <alignment wrapText="1"/>
    </xf>
    <xf numFmtId="167" fontId="140" fillId="18" borderId="148" xfId="3" applyFont="1" applyFill="1" applyBorder="1"/>
    <xf numFmtId="167" fontId="140" fillId="0" borderId="148" xfId="3" applyFont="1" applyBorder="1"/>
    <xf numFmtId="0" fontId="125" fillId="0" borderId="151" xfId="3" applyNumberFormat="1" applyBorder="1"/>
    <xf numFmtId="3" fontId="125" fillId="0" borderId="151" xfId="3" applyNumberFormat="1" applyBorder="1"/>
    <xf numFmtId="3" fontId="125" fillId="0" borderId="148" xfId="3" applyNumberFormat="1" applyBorder="1"/>
    <xf numFmtId="167" fontId="125" fillId="16" borderId="0" xfId="3" applyFill="1" applyBorder="1"/>
    <xf numFmtId="167" fontId="136" fillId="0" borderId="158" xfId="3" applyFont="1" applyFill="1" applyBorder="1" applyAlignment="1">
      <alignment horizontal="left" vertical="center" wrapText="1"/>
    </xf>
    <xf numFmtId="167" fontId="136" fillId="0" borderId="0" xfId="3" applyFont="1" applyFill="1" applyBorder="1" applyAlignment="1">
      <alignment horizontal="center" vertical="center" wrapText="1"/>
    </xf>
    <xf numFmtId="167" fontId="135" fillId="0" borderId="0" xfId="3" applyFont="1" applyFill="1" applyBorder="1" applyAlignment="1">
      <alignment horizontal="right"/>
    </xf>
    <xf numFmtId="167" fontId="134" fillId="21" borderId="148" xfId="3" applyFont="1" applyFill="1" applyBorder="1"/>
    <xf numFmtId="167" fontId="136" fillId="21" borderId="148" xfId="3" applyFont="1" applyFill="1" applyBorder="1" applyAlignment="1">
      <alignment horizontal="left"/>
    </xf>
    <xf numFmtId="167" fontId="136" fillId="18" borderId="148" xfId="3" applyFont="1" applyFill="1" applyBorder="1"/>
    <xf numFmtId="167" fontId="125" fillId="0" borderId="150" xfId="3" applyBorder="1"/>
    <xf numFmtId="167" fontId="134" fillId="21" borderId="147" xfId="3" applyFont="1" applyFill="1" applyBorder="1" applyAlignment="1">
      <alignment wrapText="1"/>
    </xf>
    <xf numFmtId="167" fontId="138" fillId="21" borderId="160" xfId="3" applyFont="1" applyFill="1" applyBorder="1" applyAlignment="1">
      <alignment wrapText="1"/>
    </xf>
    <xf numFmtId="167" fontId="136" fillId="21" borderId="157" xfId="3" applyFont="1" applyFill="1" applyBorder="1" applyAlignment="1">
      <alignment wrapText="1"/>
    </xf>
    <xf numFmtId="167" fontId="136" fillId="21" borderId="155" xfId="3" applyFont="1" applyFill="1" applyBorder="1" applyAlignment="1">
      <alignment wrapText="1"/>
    </xf>
    <xf numFmtId="167" fontId="138" fillId="21" borderId="155" xfId="3" applyFont="1" applyFill="1" applyBorder="1" applyAlignment="1">
      <alignment wrapText="1"/>
    </xf>
    <xf numFmtId="167" fontId="125" fillId="0" borderId="152" xfId="3" applyBorder="1"/>
    <xf numFmtId="167" fontId="125" fillId="18" borderId="160" xfId="3" applyFill="1" applyBorder="1"/>
    <xf numFmtId="167" fontId="125" fillId="18" borderId="157" xfId="3" applyFill="1" applyBorder="1"/>
    <xf numFmtId="167" fontId="125" fillId="0" borderId="156" xfId="3" applyBorder="1"/>
    <xf numFmtId="167" fontId="104" fillId="0" borderId="148" xfId="3" applyFont="1" applyBorder="1"/>
    <xf numFmtId="167" fontId="141" fillId="0" borderId="148" xfId="3" applyFont="1" applyBorder="1"/>
    <xf numFmtId="167" fontId="135" fillId="22" borderId="148" xfId="3" applyFont="1" applyFill="1" applyBorder="1" applyAlignment="1">
      <alignment horizontal="right"/>
    </xf>
    <xf numFmtId="167" fontId="140" fillId="22" borderId="148" xfId="3" applyFont="1" applyFill="1" applyBorder="1" applyAlignment="1">
      <alignment horizontal="right"/>
    </xf>
    <xf numFmtId="167" fontId="125" fillId="22" borderId="156" xfId="3" applyFill="1" applyBorder="1"/>
    <xf numFmtId="167" fontId="125" fillId="22" borderId="148" xfId="3" applyFill="1" applyBorder="1"/>
    <xf numFmtId="167" fontId="125" fillId="0" borderId="0" xfId="3" applyBorder="1" applyAlignment="1"/>
    <xf numFmtId="167" fontId="136" fillId="0" borderId="0" xfId="3" applyFont="1" applyBorder="1" applyAlignment="1">
      <alignment horizontal="center" vertical="center" wrapText="1"/>
    </xf>
    <xf numFmtId="167" fontId="135" fillId="16" borderId="0" xfId="3" applyFont="1" applyFill="1" applyBorder="1" applyAlignment="1">
      <alignment horizontal="right" wrapText="1"/>
    </xf>
    <xf numFmtId="167" fontId="140" fillId="16" borderId="0" xfId="3" applyFont="1" applyFill="1" applyBorder="1" applyAlignment="1">
      <alignment horizontal="right" wrapText="1"/>
    </xf>
    <xf numFmtId="167" fontId="125" fillId="16" borderId="0" xfId="3" applyFill="1" applyBorder="1" applyAlignment="1">
      <alignment wrapText="1"/>
    </xf>
    <xf numFmtId="167" fontId="136" fillId="21" borderId="148" xfId="3" applyFont="1" applyFill="1" applyBorder="1" applyAlignment="1">
      <alignment wrapText="1"/>
    </xf>
    <xf numFmtId="167" fontId="137" fillId="21" borderId="161" xfId="3" applyFont="1" applyFill="1" applyBorder="1" applyAlignment="1">
      <alignment wrapText="1"/>
    </xf>
    <xf numFmtId="167" fontId="138" fillId="21" borderId="156" xfId="3" applyFont="1" applyFill="1" applyBorder="1" applyAlignment="1">
      <alignment wrapText="1"/>
    </xf>
    <xf numFmtId="167" fontId="138" fillId="21" borderId="148" xfId="3" applyFont="1" applyFill="1" applyBorder="1" applyAlignment="1">
      <alignment wrapText="1"/>
    </xf>
    <xf numFmtId="167" fontId="125" fillId="22" borderId="161" xfId="3" applyFill="1" applyBorder="1"/>
    <xf numFmtId="167" fontId="125" fillId="18" borderId="155" xfId="3" applyFill="1" applyBorder="1"/>
    <xf numFmtId="167" fontId="135" fillId="22" borderId="149" xfId="3" applyFont="1" applyFill="1" applyBorder="1" applyAlignment="1">
      <alignment horizontal="right"/>
    </xf>
    <xf numFmtId="167" fontId="135" fillId="22" borderId="156" xfId="3" applyFont="1" applyFill="1" applyBorder="1" applyAlignment="1">
      <alignment horizontal="right"/>
    </xf>
    <xf numFmtId="167" fontId="125" fillId="22" borderId="151" xfId="3" applyFill="1" applyBorder="1"/>
    <xf numFmtId="167" fontId="136" fillId="0" borderId="0" xfId="3" applyFont="1" applyBorder="1" applyAlignment="1"/>
    <xf numFmtId="167" fontId="135" fillId="16" borderId="0" xfId="3" applyFont="1" applyFill="1" applyBorder="1" applyAlignment="1">
      <alignment horizontal="right"/>
    </xf>
    <xf numFmtId="167" fontId="135" fillId="16" borderId="0" xfId="3" applyFont="1" applyFill="1" applyBorder="1"/>
    <xf numFmtId="167" fontId="133" fillId="23" borderId="0" xfId="3" applyFont="1" applyFill="1"/>
    <xf numFmtId="167" fontId="142" fillId="23" borderId="0" xfId="3" applyFont="1" applyFill="1"/>
    <xf numFmtId="167" fontId="142" fillId="0" borderId="0" xfId="3" applyFont="1" applyFill="1"/>
    <xf numFmtId="167" fontId="135" fillId="0" borderId="0" xfId="3" applyFont="1"/>
    <xf numFmtId="167" fontId="134" fillId="23" borderId="146" xfId="3" applyFont="1" applyFill="1" applyBorder="1" applyAlignment="1">
      <alignment wrapText="1"/>
    </xf>
    <xf numFmtId="167" fontId="132" fillId="23" borderId="147" xfId="3" applyFont="1" applyFill="1" applyBorder="1" applyAlignment="1">
      <alignment horizontal="center" wrapText="1"/>
    </xf>
    <xf numFmtId="167" fontId="136" fillId="23" borderId="148" xfId="3" applyFont="1" applyFill="1" applyBorder="1" applyAlignment="1">
      <alignment wrapText="1"/>
    </xf>
    <xf numFmtId="167" fontId="137" fillId="23" borderId="161" xfId="3" applyFont="1" applyFill="1" applyBorder="1" applyAlignment="1">
      <alignment wrapText="1"/>
    </xf>
    <xf numFmtId="167" fontId="136" fillId="23" borderId="156" xfId="3" applyFont="1" applyFill="1" applyBorder="1" applyAlignment="1">
      <alignment wrapText="1"/>
    </xf>
    <xf numFmtId="167" fontId="125" fillId="18" borderId="161" xfId="3" applyFill="1" applyBorder="1"/>
    <xf numFmtId="167" fontId="125" fillId="18" borderId="156" xfId="3" applyFill="1" applyBorder="1"/>
    <xf numFmtId="167" fontId="125" fillId="0" borderId="161" xfId="3" applyBorder="1"/>
    <xf numFmtId="167" fontId="141" fillId="0" borderId="156" xfId="3" applyFont="1" applyBorder="1"/>
    <xf numFmtId="167" fontId="135" fillId="22" borderId="161" xfId="3" applyFont="1" applyFill="1" applyBorder="1"/>
    <xf numFmtId="167" fontId="133" fillId="24" borderId="0" xfId="3" applyFont="1" applyFill="1"/>
    <xf numFmtId="167" fontId="125" fillId="24" borderId="0" xfId="3" applyFill="1"/>
    <xf numFmtId="167" fontId="125" fillId="16" borderId="0" xfId="3" applyFill="1"/>
    <xf numFmtId="167" fontId="133" fillId="0" borderId="0" xfId="3" applyFont="1" applyFill="1"/>
    <xf numFmtId="167" fontId="140" fillId="16" borderId="0" xfId="3" applyFont="1" applyFill="1" applyBorder="1"/>
    <xf numFmtId="167" fontId="136" fillId="25" borderId="151" xfId="3" applyFont="1" applyFill="1" applyBorder="1" applyAlignment="1">
      <alignment wrapText="1"/>
    </xf>
    <xf numFmtId="167" fontId="136" fillId="25" borderId="148" xfId="3" applyFont="1" applyFill="1" applyBorder="1" applyAlignment="1">
      <alignment wrapText="1"/>
    </xf>
    <xf numFmtId="167" fontId="138" fillId="25" borderId="160" xfId="3" applyFont="1" applyFill="1" applyBorder="1" applyAlignment="1">
      <alignment wrapText="1"/>
    </xf>
    <xf numFmtId="167" fontId="145" fillId="25" borderId="157" xfId="3" applyFont="1" applyFill="1" applyBorder="1" applyAlignment="1">
      <alignment wrapText="1"/>
    </xf>
    <xf numFmtId="167" fontId="136" fillId="25" borderId="157" xfId="3" applyFont="1" applyFill="1" applyBorder="1" applyAlignment="1">
      <alignment wrapText="1"/>
    </xf>
    <xf numFmtId="167" fontId="136" fillId="25" borderId="155" xfId="3" applyFont="1" applyFill="1" applyBorder="1" applyAlignment="1">
      <alignment wrapText="1"/>
    </xf>
    <xf numFmtId="167" fontId="138" fillId="25" borderId="155" xfId="3" applyFont="1" applyFill="1" applyBorder="1" applyAlignment="1">
      <alignment wrapText="1"/>
    </xf>
    <xf numFmtId="167" fontId="140" fillId="18" borderId="156" xfId="3" applyFont="1" applyFill="1" applyBorder="1"/>
    <xf numFmtId="167" fontId="125" fillId="7" borderId="148" xfId="3" applyFill="1" applyBorder="1"/>
    <xf numFmtId="167" fontId="140" fillId="0" borderId="156" xfId="3" applyFont="1" applyBorder="1"/>
    <xf numFmtId="167" fontId="140" fillId="22" borderId="156" xfId="3" applyFont="1" applyFill="1" applyBorder="1"/>
    <xf numFmtId="167" fontId="140" fillId="22" borderId="148" xfId="3" applyFont="1" applyFill="1" applyBorder="1"/>
    <xf numFmtId="167" fontId="125" fillId="0" borderId="0" xfId="3" applyBorder="1" applyAlignment="1">
      <alignment horizontal="left" vertical="center" wrapText="1"/>
    </xf>
    <xf numFmtId="167" fontId="135" fillId="0" borderId="0" xfId="3" applyFont="1" applyBorder="1" applyAlignment="1">
      <alignment horizontal="right"/>
    </xf>
    <xf numFmtId="167" fontId="140" fillId="0" borderId="0" xfId="3" applyFont="1" applyBorder="1"/>
    <xf numFmtId="167" fontId="137" fillId="0" borderId="0" xfId="3" applyFont="1" applyFill="1"/>
    <xf numFmtId="167" fontId="136" fillId="25" borderId="147" xfId="3" applyFont="1" applyFill="1" applyBorder="1" applyAlignment="1">
      <alignment horizontal="center" wrapText="1"/>
    </xf>
    <xf numFmtId="167" fontId="136" fillId="25" borderId="157" xfId="3" applyFont="1" applyFill="1" applyBorder="1" applyAlignment="1">
      <alignment horizontal="center" wrapText="1"/>
    </xf>
    <xf numFmtId="167" fontId="137" fillId="25" borderId="159" xfId="3" applyFont="1" applyFill="1" applyBorder="1" applyAlignment="1">
      <alignment wrapText="1"/>
    </xf>
    <xf numFmtId="167" fontId="125" fillId="26" borderId="151" xfId="3" applyFill="1" applyBorder="1"/>
    <xf numFmtId="167" fontId="125" fillId="26" borderId="148" xfId="3" applyFill="1" applyBorder="1"/>
    <xf numFmtId="167" fontId="140" fillId="27" borderId="159" xfId="3" applyFont="1" applyFill="1" applyBorder="1"/>
    <xf numFmtId="167" fontId="140" fillId="22" borderId="159" xfId="3" applyFont="1" applyFill="1" applyBorder="1"/>
    <xf numFmtId="167" fontId="135" fillId="22" borderId="159" xfId="3" applyFont="1" applyFill="1" applyBorder="1"/>
    <xf numFmtId="167" fontId="136" fillId="0" borderId="0" xfId="3" applyFont="1" applyFill="1" applyBorder="1" applyAlignment="1">
      <alignment horizontal="left" vertical="center" wrapText="1"/>
    </xf>
    <xf numFmtId="167" fontId="135" fillId="0" borderId="0" xfId="3" applyFont="1" applyFill="1" applyBorder="1"/>
    <xf numFmtId="167" fontId="140" fillId="0" borderId="0" xfId="3" applyFont="1" applyFill="1" applyBorder="1"/>
    <xf numFmtId="167" fontId="133" fillId="28" borderId="0" xfId="3" applyFont="1" applyFill="1"/>
    <xf numFmtId="167" fontId="125" fillId="28" borderId="0" xfId="3" applyFill="1"/>
    <xf numFmtId="167" fontId="136" fillId="0" borderId="0" xfId="3" applyFont="1" applyBorder="1" applyAlignment="1">
      <alignment horizontal="left"/>
    </xf>
    <xf numFmtId="167" fontId="137" fillId="28" borderId="155" xfId="3" applyFont="1" applyFill="1" applyBorder="1" applyAlignment="1">
      <alignment wrapText="1"/>
    </xf>
    <xf numFmtId="167" fontId="138" fillId="28" borderId="155" xfId="3" applyFont="1" applyFill="1" applyBorder="1" applyAlignment="1">
      <alignment wrapText="1"/>
    </xf>
    <xf numFmtId="167" fontId="137" fillId="28" borderId="157" xfId="3" applyFont="1" applyFill="1" applyBorder="1" applyAlignment="1">
      <alignment wrapText="1"/>
    </xf>
    <xf numFmtId="167" fontId="136" fillId="28" borderId="155" xfId="3" applyFont="1" applyFill="1" applyBorder="1" applyAlignment="1">
      <alignment wrapText="1"/>
    </xf>
    <xf numFmtId="167" fontId="145" fillId="28" borderId="157" xfId="3" applyFont="1" applyFill="1" applyBorder="1" applyAlignment="1">
      <alignment wrapText="1"/>
    </xf>
    <xf numFmtId="167" fontId="136" fillId="28" borderId="162" xfId="3" applyFont="1" applyFill="1" applyBorder="1" applyAlignment="1">
      <alignment wrapText="1"/>
    </xf>
    <xf numFmtId="167" fontId="140" fillId="18" borderId="151" xfId="3" applyFont="1" applyFill="1" applyBorder="1"/>
    <xf numFmtId="167" fontId="140" fillId="18" borderId="161" xfId="3" applyFont="1" applyFill="1" applyBorder="1"/>
    <xf numFmtId="167" fontId="140" fillId="0" borderId="151" xfId="3" applyFont="1" applyBorder="1"/>
    <xf numFmtId="167" fontId="140" fillId="0" borderId="161" xfId="3" applyFont="1" applyBorder="1"/>
    <xf numFmtId="167" fontId="140" fillId="22" borderId="151" xfId="3" applyFont="1" applyFill="1" applyBorder="1"/>
    <xf numFmtId="167" fontId="140" fillId="22" borderId="161" xfId="3" applyFont="1" applyFill="1" applyBorder="1"/>
    <xf numFmtId="167" fontId="136" fillId="0" borderId="0" xfId="3" applyFont="1"/>
    <xf numFmtId="167" fontId="136" fillId="28" borderId="151" xfId="3" applyFont="1" applyFill="1" applyBorder="1" applyAlignment="1">
      <alignment wrapText="1"/>
    </xf>
    <xf numFmtId="167" fontId="136" fillId="28" borderId="148" xfId="3" applyFont="1" applyFill="1" applyBorder="1" applyAlignment="1">
      <alignment wrapText="1"/>
    </xf>
    <xf numFmtId="167" fontId="136" fillId="28" borderId="149" xfId="3" applyFont="1" applyFill="1" applyBorder="1" applyAlignment="1">
      <alignment wrapText="1"/>
    </xf>
    <xf numFmtId="167" fontId="137" fillId="28" borderId="148" xfId="3" applyFont="1" applyFill="1" applyBorder="1" applyAlignment="1">
      <alignment wrapText="1"/>
    </xf>
    <xf numFmtId="167" fontId="140" fillId="18" borderId="159" xfId="3" applyFont="1" applyFill="1" applyBorder="1"/>
    <xf numFmtId="167" fontId="140" fillId="0" borderId="159" xfId="3" applyFont="1" applyBorder="1"/>
    <xf numFmtId="167" fontId="135" fillId="22" borderId="159" xfId="3" applyFont="1" applyFill="1" applyBorder="1" applyAlignment="1">
      <alignment horizontal="right"/>
    </xf>
    <xf numFmtId="167" fontId="135" fillId="22" borderId="148" xfId="3" applyFont="1" applyFill="1" applyBorder="1"/>
    <xf numFmtId="167" fontId="135" fillId="16" borderId="152" xfId="3" applyFont="1" applyFill="1" applyBorder="1" applyAlignment="1">
      <alignment horizontal="right"/>
    </xf>
    <xf numFmtId="167" fontId="140" fillId="16" borderId="158" xfId="3" applyFont="1" applyFill="1" applyBorder="1"/>
    <xf numFmtId="167" fontId="125" fillId="0" borderId="163" xfId="3" applyBorder="1"/>
    <xf numFmtId="167" fontId="134" fillId="28" borderId="149" xfId="3" applyFont="1" applyFill="1" applyBorder="1" applyAlignment="1">
      <alignment horizontal="left" wrapText="1"/>
    </xf>
    <xf numFmtId="167" fontId="136" fillId="28" borderId="148" xfId="3" applyFont="1" applyFill="1" applyBorder="1" applyAlignment="1">
      <alignment horizontal="center" vertical="center" wrapText="1"/>
    </xf>
    <xf numFmtId="167" fontId="135" fillId="28" borderId="164" xfId="3" applyFont="1" applyFill="1" applyBorder="1" applyAlignment="1">
      <alignment horizontal="right"/>
    </xf>
    <xf numFmtId="167" fontId="140" fillId="28" borderId="148" xfId="3" applyFont="1" applyFill="1" applyBorder="1" applyAlignment="1">
      <alignment wrapText="1"/>
    </xf>
    <xf numFmtId="167" fontId="140" fillId="28" borderId="158" xfId="3" applyFont="1" applyFill="1" applyBorder="1" applyAlignment="1">
      <alignment wrapText="1"/>
    </xf>
    <xf numFmtId="167" fontId="135" fillId="28" borderId="148" xfId="3" applyFont="1" applyFill="1" applyBorder="1" applyAlignment="1">
      <alignment wrapText="1"/>
    </xf>
    <xf numFmtId="167" fontId="135" fillId="18" borderId="151" xfId="3" applyFont="1" applyFill="1" applyBorder="1" applyAlignment="1">
      <alignment horizontal="right"/>
    </xf>
    <xf numFmtId="167" fontId="135" fillId="18" borderId="150" xfId="3" applyFont="1" applyFill="1" applyBorder="1"/>
    <xf numFmtId="167" fontId="135" fillId="16" borderId="151" xfId="3" applyFont="1" applyFill="1" applyBorder="1" applyAlignment="1">
      <alignment horizontal="right"/>
    </xf>
    <xf numFmtId="167" fontId="140" fillId="16" borderId="148" xfId="3" applyFont="1" applyFill="1" applyBorder="1"/>
    <xf numFmtId="167" fontId="135" fillId="22" borderId="150" xfId="3" applyFont="1" applyFill="1" applyBorder="1"/>
    <xf numFmtId="167" fontId="135" fillId="16" borderId="164" xfId="3" applyFont="1" applyFill="1" applyBorder="1" applyAlignment="1">
      <alignment horizontal="right"/>
    </xf>
    <xf numFmtId="167" fontId="140" fillId="16" borderId="164" xfId="3" applyFont="1" applyFill="1" applyBorder="1"/>
    <xf numFmtId="167" fontId="135" fillId="22" borderId="158" xfId="3" applyFont="1" applyFill="1" applyBorder="1" applyAlignment="1">
      <alignment horizontal="right"/>
    </xf>
    <xf numFmtId="167" fontId="140" fillId="22" borderId="149" xfId="3" applyFont="1" applyFill="1" applyBorder="1"/>
    <xf numFmtId="167" fontId="136" fillId="0" borderId="0" xfId="3" applyFont="1" applyFill="1" applyBorder="1" applyAlignment="1">
      <alignment horizontal="left"/>
    </xf>
    <xf numFmtId="167" fontId="133" fillId="29" borderId="0" xfId="3" applyFont="1" applyFill="1"/>
    <xf numFmtId="167" fontId="125" fillId="29" borderId="0" xfId="3" applyFill="1"/>
    <xf numFmtId="167" fontId="133" fillId="0" borderId="0" xfId="3" applyFont="1"/>
    <xf numFmtId="167" fontId="136" fillId="29" borderId="161" xfId="3" applyFont="1" applyFill="1" applyBorder="1" applyAlignment="1">
      <alignment wrapText="1"/>
    </xf>
    <xf numFmtId="167" fontId="136" fillId="29" borderId="155" xfId="3" applyFont="1" applyFill="1" applyBorder="1" applyAlignment="1">
      <alignment wrapText="1"/>
    </xf>
    <xf numFmtId="167" fontId="136" fillId="29" borderId="157" xfId="3" applyFont="1" applyFill="1" applyBorder="1" applyAlignment="1">
      <alignment wrapText="1"/>
    </xf>
    <xf numFmtId="167" fontId="137" fillId="29" borderId="148" xfId="3" applyFont="1" applyFill="1" applyBorder="1" applyAlignment="1">
      <alignment wrapText="1"/>
    </xf>
    <xf numFmtId="167" fontId="137" fillId="29" borderId="162" xfId="3" applyFont="1" applyFill="1" applyBorder="1" applyAlignment="1">
      <alignment wrapText="1"/>
    </xf>
    <xf numFmtId="167" fontId="136" fillId="29" borderId="156" xfId="3" applyFont="1" applyFill="1" applyBorder="1" applyAlignment="1">
      <alignment wrapText="1"/>
    </xf>
    <xf numFmtId="167" fontId="136" fillId="29" borderId="148" xfId="3" applyFont="1" applyFill="1" applyBorder="1" applyAlignment="1">
      <alignment wrapText="1"/>
    </xf>
    <xf numFmtId="167" fontId="125" fillId="0" borderId="161" xfId="3" applyFill="1" applyBorder="1"/>
    <xf numFmtId="167" fontId="137" fillId="29" borderId="159" xfId="3" applyFont="1" applyFill="1" applyBorder="1" applyAlignment="1">
      <alignment wrapText="1"/>
    </xf>
    <xf numFmtId="167" fontId="136" fillId="29" borderId="151" xfId="3" applyFont="1" applyFill="1" applyBorder="1" applyAlignment="1">
      <alignment wrapText="1"/>
    </xf>
    <xf numFmtId="167" fontId="140" fillId="18" borderId="157" xfId="3" applyFont="1" applyFill="1" applyBorder="1"/>
    <xf numFmtId="167" fontId="125" fillId="22" borderId="165" xfId="3" applyFill="1" applyBorder="1"/>
    <xf numFmtId="167" fontId="125" fillId="22" borderId="159" xfId="3" applyFill="1" applyBorder="1"/>
    <xf numFmtId="167" fontId="133" fillId="30" borderId="0" xfId="3" applyFont="1" applyFill="1"/>
    <xf numFmtId="167" fontId="125" fillId="30" borderId="0" xfId="3" applyFill="1"/>
    <xf numFmtId="167" fontId="135" fillId="30" borderId="0" xfId="3" applyFont="1" applyFill="1"/>
    <xf numFmtId="167" fontId="134" fillId="30" borderId="146" xfId="3" applyFont="1" applyFill="1" applyBorder="1" applyAlignment="1">
      <alignment wrapText="1"/>
    </xf>
    <xf numFmtId="167" fontId="134" fillId="30" borderId="148" xfId="3" applyFont="1" applyFill="1" applyBorder="1" applyAlignment="1">
      <alignment horizontal="center" wrapText="1"/>
    </xf>
    <xf numFmtId="167" fontId="136" fillId="30" borderId="148" xfId="3" applyFont="1" applyFill="1" applyBorder="1" applyAlignment="1">
      <alignment wrapText="1"/>
    </xf>
    <xf numFmtId="167" fontId="136" fillId="30" borderId="151" xfId="3" applyFont="1" applyFill="1" applyBorder="1" applyAlignment="1">
      <alignment wrapText="1"/>
    </xf>
    <xf numFmtId="167" fontId="136" fillId="30" borderId="158" xfId="3" applyFont="1" applyFill="1" applyBorder="1" applyAlignment="1">
      <alignment wrapText="1"/>
    </xf>
    <xf numFmtId="167" fontId="125" fillId="18" borderId="158" xfId="3" applyFill="1" applyBorder="1"/>
    <xf numFmtId="167" fontId="125" fillId="0" borderId="158" xfId="3" applyBorder="1"/>
    <xf numFmtId="167" fontId="125" fillId="0" borderId="166" xfId="3" applyBorder="1"/>
    <xf numFmtId="167" fontId="125" fillId="0" borderId="147" xfId="3" applyBorder="1"/>
    <xf numFmtId="167" fontId="125" fillId="0" borderId="164" xfId="3" applyBorder="1"/>
    <xf numFmtId="167" fontId="134" fillId="25" borderId="146" xfId="3" applyFont="1" applyFill="1" applyBorder="1" applyAlignment="1">
      <alignment horizontal="left" vertical="center" wrapText="1"/>
    </xf>
    <xf numFmtId="167" fontId="134" fillId="25" borderId="148" xfId="3" applyFont="1" applyFill="1" applyBorder="1" applyAlignment="1">
      <alignment wrapText="1"/>
    </xf>
    <xf numFmtId="168" fontId="135" fillId="0" borderId="148" xfId="3" applyNumberFormat="1" applyFont="1" applyBorder="1"/>
    <xf numFmtId="168" fontId="140" fillId="0" borderId="148" xfId="3" applyNumberFormat="1" applyFont="1" applyBorder="1"/>
    <xf numFmtId="2" fontId="73" fillId="0" borderId="0" xfId="3" applyNumberFormat="1" applyFont="1"/>
    <xf numFmtId="168" fontId="154" fillId="0" borderId="148" xfId="3" applyNumberFormat="1" applyFont="1" applyBorder="1"/>
    <xf numFmtId="167" fontId="125" fillId="0" borderId="155" xfId="3" applyBorder="1"/>
    <xf numFmtId="168" fontId="135" fillId="19" borderId="148" xfId="3" applyNumberFormat="1" applyFont="1" applyFill="1" applyBorder="1" applyAlignment="1">
      <alignment horizontal="right"/>
    </xf>
    <xf numFmtId="0" fontId="1" fillId="0" borderId="0" xfId="4"/>
    <xf numFmtId="0" fontId="106" fillId="3" borderId="20" xfId="0" applyFont="1" applyFill="1" applyBorder="1" applyAlignment="1">
      <alignment horizontal="center" wrapText="1"/>
    </xf>
    <xf numFmtId="0" fontId="106" fillId="3" borderId="21" xfId="0" applyFont="1" applyFill="1" applyBorder="1" applyAlignment="1">
      <alignment horizontal="center" wrapText="1"/>
    </xf>
    <xf numFmtId="0" fontId="107" fillId="3" borderId="22" xfId="0" applyFont="1" applyFill="1" applyBorder="1" applyAlignment="1">
      <alignment horizontal="center" wrapText="1"/>
    </xf>
    <xf numFmtId="0" fontId="108" fillId="3" borderId="23" xfId="0" applyFont="1" applyFill="1" applyBorder="1" applyAlignment="1">
      <alignment wrapText="1"/>
    </xf>
    <xf numFmtId="0" fontId="106" fillId="3" borderId="21" xfId="0" applyFont="1" applyFill="1" applyBorder="1" applyAlignment="1">
      <alignment wrapText="1"/>
    </xf>
    <xf numFmtId="0" fontId="108" fillId="3" borderId="21" xfId="0" applyFont="1" applyFill="1" applyBorder="1" applyAlignment="1">
      <alignment wrapText="1"/>
    </xf>
    <xf numFmtId="0" fontId="55" fillId="4" borderId="20" xfId="0" applyFont="1" applyFill="1" applyBorder="1"/>
    <xf numFmtId="0" fontId="55" fillId="4" borderId="21" xfId="0" applyFont="1" applyFill="1" applyBorder="1"/>
    <xf numFmtId="0" fontId="55" fillId="5" borderId="22" xfId="0" applyFont="1" applyFill="1" applyBorder="1"/>
    <xf numFmtId="0" fontId="55" fillId="4" borderId="23" xfId="0" applyFont="1" applyFill="1" applyBorder="1"/>
    <xf numFmtId="0" fontId="13" fillId="5" borderId="27" xfId="0" applyFont="1" applyFill="1" applyBorder="1" applyAlignment="1"/>
    <xf numFmtId="0" fontId="0" fillId="5" borderId="28" xfId="0" applyFill="1" applyBorder="1" applyAlignment="1"/>
    <xf numFmtId="0" fontId="0" fillId="5" borderId="29" xfId="0" applyFill="1" applyBorder="1" applyAlignment="1"/>
    <xf numFmtId="0" fontId="0" fillId="5" borderId="30" xfId="0" applyFill="1" applyBorder="1" applyAlignment="1"/>
    <xf numFmtId="0" fontId="0" fillId="5" borderId="31" xfId="0" applyFill="1" applyBorder="1" applyAlignment="1"/>
    <xf numFmtId="0" fontId="0" fillId="5" borderId="32" xfId="0" applyFill="1" applyBorder="1" applyAlignment="1"/>
    <xf numFmtId="0" fontId="0" fillId="5" borderId="33" xfId="0" applyFill="1" applyBorder="1" applyAlignment="1"/>
    <xf numFmtId="0" fontId="15" fillId="0" borderId="74" xfId="0" applyFont="1" applyBorder="1" applyAlignment="1">
      <alignment horizontal="left" vertical="center" wrapText="1"/>
    </xf>
    <xf numFmtId="0" fontId="60" fillId="0" borderId="21" xfId="0" applyFont="1" applyBorder="1"/>
    <xf numFmtId="0" fontId="155" fillId="0" borderId="21" xfId="0" applyFont="1" applyBorder="1"/>
    <xf numFmtId="0" fontId="56" fillId="0" borderId="20" xfId="0" applyFont="1" applyBorder="1"/>
    <xf numFmtId="0" fontId="28" fillId="0" borderId="0" xfId="0" applyFont="1" applyBorder="1" applyAlignment="1"/>
    <xf numFmtId="0" fontId="0" fillId="7" borderId="0" xfId="0" applyFill="1" applyBorder="1" applyAlignment="1"/>
    <xf numFmtId="0" fontId="34" fillId="7" borderId="0" xfId="0" applyFont="1" applyFill="1" applyBorder="1" applyAlignment="1">
      <alignment horizontal="right"/>
    </xf>
    <xf numFmtId="0" fontId="33" fillId="7" borderId="19" xfId="0" applyFont="1" applyFill="1" applyBorder="1"/>
    <xf numFmtId="0" fontId="15" fillId="11" borderId="119" xfId="0" applyFont="1" applyFill="1" applyBorder="1" applyAlignment="1">
      <alignment wrapText="1"/>
    </xf>
    <xf numFmtId="0" fontId="15" fillId="11" borderId="167" xfId="0" applyFont="1" applyFill="1" applyBorder="1" applyAlignment="1">
      <alignment wrapText="1"/>
    </xf>
    <xf numFmtId="4" fontId="3" fillId="0" borderId="133" xfId="0" applyNumberFormat="1" applyFont="1" applyBorder="1" applyAlignment="1">
      <alignment horizontal="center" vertical="center"/>
    </xf>
    <xf numFmtId="4" fontId="3" fillId="7" borderId="133" xfId="0" applyNumberFormat="1" applyFont="1" applyFill="1" applyBorder="1" applyAlignment="1">
      <alignment horizontal="center" vertical="center"/>
    </xf>
    <xf numFmtId="4" fontId="60" fillId="0" borderId="133" xfId="0" applyNumberFormat="1" applyFont="1" applyBorder="1" applyAlignment="1">
      <alignment horizontal="center" vertical="center"/>
    </xf>
    <xf numFmtId="4" fontId="1" fillId="7" borderId="133" xfId="0" applyNumberFormat="1" applyFont="1" applyFill="1" applyBorder="1" applyAlignment="1">
      <alignment horizontal="center"/>
    </xf>
    <xf numFmtId="4" fontId="0" fillId="7" borderId="133" xfId="0" applyNumberFormat="1" applyFill="1" applyBorder="1" applyAlignment="1">
      <alignment horizontal="center"/>
    </xf>
    <xf numFmtId="4" fontId="26" fillId="0" borderId="133" xfId="0" applyNumberFormat="1" applyFont="1" applyBorder="1" applyAlignment="1">
      <alignment horizontal="center" vertical="center"/>
    </xf>
    <xf numFmtId="4" fontId="0" fillId="7" borderId="133" xfId="0" applyNumberFormat="1" applyFill="1" applyBorder="1" applyAlignment="1">
      <alignment horizontal="center" vertical="center"/>
    </xf>
    <xf numFmtId="4" fontId="3" fillId="15" borderId="168" xfId="0" applyNumberFormat="1" applyFont="1" applyFill="1" applyBorder="1" applyAlignment="1">
      <alignment horizontal="center" vertical="center"/>
    </xf>
    <xf numFmtId="4" fontId="13" fillId="5" borderId="42" xfId="0" applyNumberFormat="1" applyFont="1" applyFill="1" applyBorder="1" applyAlignment="1">
      <alignment horizontal="center" vertical="center"/>
    </xf>
    <xf numFmtId="4" fontId="13" fillId="5" borderId="26" xfId="0" applyNumberFormat="1" applyFont="1" applyFill="1" applyBorder="1" applyAlignment="1">
      <alignment horizontal="center" vertical="center"/>
    </xf>
    <xf numFmtId="0" fontId="13" fillId="5" borderId="26" xfId="0" applyFont="1" applyFill="1" applyBorder="1" applyAlignment="1">
      <alignment horizontal="center" vertical="center"/>
    </xf>
    <xf numFmtId="0" fontId="26" fillId="0" borderId="0" xfId="0" applyFont="1" applyFill="1" applyBorder="1"/>
    <xf numFmtId="0" fontId="26" fillId="0" borderId="18" xfId="0" applyFont="1" applyFill="1" applyBorder="1"/>
    <xf numFmtId="4" fontId="1" fillId="0" borderId="0" xfId="0" applyNumberFormat="1" applyFont="1"/>
    <xf numFmtId="0" fontId="0" fillId="0" borderId="42" xfId="0" applyBorder="1" applyAlignment="1">
      <alignment wrapText="1"/>
    </xf>
    <xf numFmtId="0" fontId="28" fillId="11" borderId="50" xfId="0" applyFont="1" applyFill="1" applyBorder="1" applyAlignment="1">
      <alignment horizontal="center" wrapText="1"/>
    </xf>
    <xf numFmtId="0" fontId="51" fillId="0" borderId="0" xfId="0" applyFont="1" applyAlignment="1"/>
    <xf numFmtId="0" fontId="52" fillId="0" borderId="0" xfId="0" applyFont="1" applyAlignment="1"/>
    <xf numFmtId="0" fontId="0" fillId="0" borderId="100" xfId="0" applyBorder="1"/>
    <xf numFmtId="0" fontId="0" fillId="0" borderId="42" xfId="0" applyBorder="1"/>
    <xf numFmtId="0" fontId="0" fillId="0" borderId="93" xfId="0" applyBorder="1"/>
    <xf numFmtId="0" fontId="28" fillId="11" borderId="123" xfId="0" applyFont="1" applyFill="1" applyBorder="1" applyAlignment="1">
      <alignment horizontal="center" wrapText="1"/>
    </xf>
    <xf numFmtId="0" fontId="0" fillId="0" borderId="0" xfId="0" applyAlignment="1">
      <alignment vertical="center" wrapText="1"/>
    </xf>
    <xf numFmtId="0" fontId="5" fillId="2" borderId="169" xfId="0" applyFont="1" applyFill="1" applyBorder="1" applyAlignment="1">
      <alignment horizontal="centerContinuous"/>
    </xf>
    <xf numFmtId="0" fontId="0" fillId="2" borderId="170" xfId="0" applyFill="1" applyBorder="1" applyAlignment="1">
      <alignment horizontal="centerContinuous"/>
    </xf>
    <xf numFmtId="0" fontId="12" fillId="3" borderId="172" xfId="0" applyFont="1" applyFill="1" applyBorder="1" applyAlignment="1">
      <alignment wrapText="1"/>
    </xf>
    <xf numFmtId="0" fontId="12" fillId="3" borderId="173" xfId="0" applyFont="1" applyFill="1" applyBorder="1" applyAlignment="1">
      <alignment wrapText="1"/>
    </xf>
    <xf numFmtId="0" fontId="0" fillId="0" borderId="19" xfId="0" applyBorder="1" applyAlignment="1">
      <alignment horizontal="right"/>
    </xf>
    <xf numFmtId="0" fontId="29" fillId="6" borderId="175" xfId="0" applyFont="1" applyFill="1" applyBorder="1" applyAlignment="1">
      <alignment horizontal="centerContinuous" wrapText="1"/>
    </xf>
    <xf numFmtId="0" fontId="28" fillId="6" borderId="176" xfId="0" applyFont="1" applyFill="1" applyBorder="1" applyAlignment="1">
      <alignment horizontal="centerContinuous" wrapText="1"/>
    </xf>
    <xf numFmtId="0" fontId="28" fillId="6" borderId="177" xfId="0" applyFont="1" applyFill="1" applyBorder="1" applyAlignment="1">
      <alignment horizontal="centerContinuous" wrapText="1"/>
    </xf>
    <xf numFmtId="0" fontId="12" fillId="6" borderId="178" xfId="0" applyFont="1" applyFill="1" applyBorder="1"/>
    <xf numFmtId="0" fontId="12" fillId="6" borderId="179" xfId="0" applyFont="1" applyFill="1" applyBorder="1" applyAlignment="1">
      <alignment horizontal="center" wrapText="1"/>
    </xf>
    <xf numFmtId="0" fontId="12" fillId="9" borderId="178" xfId="0" applyFont="1" applyFill="1" applyBorder="1" applyAlignment="1">
      <alignment wrapText="1"/>
    </xf>
    <xf numFmtId="0" fontId="36" fillId="9" borderId="179" xfId="0" applyFont="1" applyFill="1" applyBorder="1" applyAlignment="1">
      <alignment horizontal="center" wrapText="1"/>
    </xf>
    <xf numFmtId="0" fontId="29" fillId="11" borderId="176" xfId="0" applyFont="1" applyFill="1" applyBorder="1" applyAlignment="1">
      <alignment horizontal="centerContinuous" wrapText="1"/>
    </xf>
    <xf numFmtId="0" fontId="29" fillId="11" borderId="177" xfId="0" applyFont="1" applyFill="1" applyBorder="1" applyAlignment="1">
      <alignment horizontal="centerContinuous" wrapText="1"/>
    </xf>
    <xf numFmtId="0" fontId="28" fillId="11" borderId="181" xfId="0" applyFont="1" applyFill="1" applyBorder="1" applyAlignment="1">
      <alignment horizontal="center" wrapText="1"/>
    </xf>
    <xf numFmtId="0" fontId="28" fillId="11" borderId="176" xfId="0" applyFont="1" applyFill="1" applyBorder="1" applyAlignment="1">
      <alignment horizontal="centerContinuous" wrapText="1"/>
    </xf>
    <xf numFmtId="0" fontId="15" fillId="0" borderId="0" xfId="0" applyFont="1" applyBorder="1" applyAlignment="1">
      <alignment horizontal="left" vertical="center" wrapText="1"/>
    </xf>
    <xf numFmtId="0" fontId="34" fillId="0" borderId="0" xfId="0" applyFont="1" applyFill="1" applyBorder="1" applyAlignment="1">
      <alignment horizontal="right"/>
    </xf>
    <xf numFmtId="0" fontId="34" fillId="0" borderId="0" xfId="0" applyFont="1" applyFill="1" applyBorder="1"/>
    <xf numFmtId="0" fontId="28" fillId="12" borderId="182" xfId="0" applyFont="1" applyFill="1" applyBorder="1" applyAlignment="1">
      <alignment horizontal="centerContinuous" wrapText="1"/>
    </xf>
    <xf numFmtId="0" fontId="28" fillId="12" borderId="183" xfId="0" applyFont="1" applyFill="1" applyBorder="1" applyAlignment="1">
      <alignment horizontal="centerContinuous" wrapText="1"/>
    </xf>
    <xf numFmtId="0" fontId="28" fillId="12" borderId="184" xfId="0" applyFont="1" applyFill="1" applyBorder="1" applyAlignment="1">
      <alignment horizontal="centerContinuous" wrapText="1"/>
    </xf>
    <xf numFmtId="0" fontId="0" fillId="31" borderId="20" xfId="0" applyFill="1" applyBorder="1"/>
    <xf numFmtId="0" fontId="0" fillId="31" borderId="21" xfId="0" applyFill="1" applyBorder="1"/>
    <xf numFmtId="0" fontId="0" fillId="31" borderId="21" xfId="0" applyFont="1" applyFill="1" applyBorder="1"/>
    <xf numFmtId="0" fontId="0" fillId="31" borderId="19" xfId="0" applyFont="1" applyFill="1" applyBorder="1"/>
    <xf numFmtId="0" fontId="0" fillId="31" borderId="20" xfId="0" applyFont="1" applyFill="1" applyBorder="1"/>
    <xf numFmtId="0" fontId="28" fillId="12" borderId="176" xfId="0" applyFont="1" applyFill="1" applyBorder="1" applyAlignment="1">
      <alignment horizontal="centerContinuous" wrapText="1"/>
    </xf>
    <xf numFmtId="0" fontId="28" fillId="12" borderId="187" xfId="0" applyFont="1" applyFill="1" applyBorder="1" applyAlignment="1">
      <alignment horizontal="centerContinuous" wrapText="1"/>
    </xf>
    <xf numFmtId="0" fontId="28" fillId="12" borderId="177" xfId="0" applyFont="1" applyFill="1" applyBorder="1" applyAlignment="1">
      <alignment horizontal="centerContinuous" wrapText="1"/>
    </xf>
    <xf numFmtId="0" fontId="0" fillId="7" borderId="188" xfId="0" applyFont="1" applyFill="1" applyBorder="1"/>
    <xf numFmtId="0" fontId="34" fillId="12" borderId="189" xfId="0" applyFont="1" applyFill="1" applyBorder="1" applyAlignment="1">
      <alignment horizontal="right"/>
    </xf>
    <xf numFmtId="0" fontId="0" fillId="12" borderId="176" xfId="0" applyFont="1" applyFill="1" applyBorder="1" applyAlignment="1">
      <alignment wrapText="1"/>
    </xf>
    <xf numFmtId="0" fontId="0" fillId="0" borderId="173" xfId="0" applyBorder="1"/>
    <xf numFmtId="0" fontId="34" fillId="4" borderId="190" xfId="0" applyFont="1" applyFill="1" applyBorder="1"/>
    <xf numFmtId="0" fontId="34" fillId="8" borderId="190" xfId="0" applyFont="1" applyFill="1" applyBorder="1"/>
    <xf numFmtId="0" fontId="28" fillId="13" borderId="176" xfId="0" applyFont="1" applyFill="1" applyBorder="1" applyAlignment="1">
      <alignment horizontal="centerContinuous" wrapText="1"/>
    </xf>
    <xf numFmtId="0" fontId="28" fillId="13" borderId="187" xfId="0" applyFont="1" applyFill="1" applyBorder="1" applyAlignment="1">
      <alignment horizontal="centerContinuous" wrapText="1"/>
    </xf>
    <xf numFmtId="0" fontId="12" fillId="14" borderId="178" xfId="0" applyFont="1" applyFill="1" applyBorder="1" applyAlignment="1">
      <alignment wrapText="1"/>
    </xf>
    <xf numFmtId="0" fontId="15" fillId="14" borderId="176" xfId="0" applyFont="1" applyFill="1" applyBorder="1" applyAlignment="1">
      <alignment wrapText="1"/>
    </xf>
    <xf numFmtId="0" fontId="12" fillId="11" borderId="178" xfId="0" applyFont="1" applyFill="1" applyBorder="1" applyAlignment="1">
      <alignment horizontal="left" vertical="center" wrapText="1"/>
    </xf>
    <xf numFmtId="4" fontId="3" fillId="0" borderId="0" xfId="0" applyNumberFormat="1" applyFont="1"/>
    <xf numFmtId="0" fontId="160" fillId="0" borderId="21" xfId="0" applyFont="1" applyBorder="1"/>
    <xf numFmtId="0" fontId="160" fillId="0" borderId="24" xfId="0" applyFont="1" applyBorder="1"/>
    <xf numFmtId="0" fontId="161" fillId="0" borderId="0" xfId="0" applyFont="1"/>
    <xf numFmtId="0" fontId="14" fillId="0" borderId="24" xfId="0" applyFont="1" applyBorder="1"/>
    <xf numFmtId="0" fontId="0" fillId="32" borderId="191" xfId="0" applyFont="1" applyFill="1" applyBorder="1" applyAlignment="1">
      <alignment wrapText="1"/>
    </xf>
    <xf numFmtId="4" fontId="13" fillId="15" borderId="29" xfId="0" applyNumberFormat="1" applyFont="1" applyFill="1" applyBorder="1" applyAlignment="1">
      <alignment horizontal="right"/>
    </xf>
    <xf numFmtId="0" fontId="5" fillId="2" borderId="192" xfId="0" applyFont="1" applyFill="1" applyBorder="1" applyAlignment="1">
      <alignment horizontal="centerContinuous"/>
    </xf>
    <xf numFmtId="0" fontId="0" fillId="2" borderId="193" xfId="0" applyFill="1" applyBorder="1" applyAlignment="1">
      <alignment horizontal="centerContinuous"/>
    </xf>
    <xf numFmtId="0" fontId="12" fillId="3" borderId="178" xfId="0" applyFont="1" applyFill="1" applyBorder="1" applyAlignment="1">
      <alignment wrapText="1"/>
    </xf>
    <xf numFmtId="0" fontId="12" fillId="3" borderId="179" xfId="0" applyFont="1" applyFill="1" applyBorder="1" applyAlignment="1">
      <alignment wrapText="1"/>
    </xf>
    <xf numFmtId="0" fontId="0" fillId="15" borderId="22" xfId="0" applyFill="1" applyBorder="1"/>
    <xf numFmtId="0" fontId="0" fillId="0" borderId="23" xfId="0" applyFill="1" applyBorder="1"/>
    <xf numFmtId="4" fontId="0" fillId="0" borderId="20" xfId="0" applyNumberFormat="1" applyBorder="1"/>
    <xf numFmtId="4" fontId="0" fillId="0" borderId="19" xfId="0" applyNumberFormat="1" applyBorder="1"/>
    <xf numFmtId="4" fontId="0" fillId="0" borderId="19" xfId="0" applyNumberFormat="1" applyFill="1" applyBorder="1"/>
    <xf numFmtId="0" fontId="26" fillId="0" borderId="19" xfId="0" applyFont="1" applyFill="1" applyBorder="1"/>
    <xf numFmtId="4" fontId="0" fillId="0" borderId="20" xfId="0" applyNumberFormat="1" applyFill="1" applyBorder="1"/>
    <xf numFmtId="0" fontId="15" fillId="0" borderId="188" xfId="0" applyFont="1" applyFill="1" applyBorder="1" applyAlignment="1">
      <alignment horizontal="left" vertical="center" wrapText="1"/>
    </xf>
    <xf numFmtId="0" fontId="26" fillId="0" borderId="19" xfId="0" applyFont="1" applyFill="1" applyBorder="1" applyAlignment="1">
      <alignment horizontal="right"/>
    </xf>
    <xf numFmtId="0" fontId="0" fillId="0" borderId="20" xfId="0" applyFill="1" applyBorder="1" applyAlignment="1">
      <alignment horizontal="right"/>
    </xf>
    <xf numFmtId="0" fontId="33" fillId="0" borderId="21" xfId="0" applyFont="1" applyFill="1" applyBorder="1"/>
    <xf numFmtId="0" fontId="34" fillId="8" borderId="94" xfId="0" applyFont="1" applyFill="1" applyBorder="1" applyAlignment="1"/>
    <xf numFmtId="0" fontId="0" fillId="8" borderId="196" xfId="0" applyFont="1" applyFill="1" applyBorder="1" applyAlignment="1"/>
    <xf numFmtId="0" fontId="0" fillId="8" borderId="197" xfId="0" applyFill="1" applyBorder="1" applyAlignment="1"/>
    <xf numFmtId="0" fontId="0" fillId="8" borderId="78" xfId="0" applyFill="1" applyBorder="1" applyAlignment="1"/>
    <xf numFmtId="0" fontId="0" fillId="8" borderId="97" xfId="0" applyFill="1" applyBorder="1" applyAlignment="1"/>
    <xf numFmtId="0" fontId="0" fillId="0" borderId="56" xfId="0" applyFont="1" applyFill="1" applyBorder="1"/>
    <xf numFmtId="0" fontId="0" fillId="0" borderId="21" xfId="0" applyFont="1" applyFill="1" applyBorder="1"/>
    <xf numFmtId="0" fontId="0" fillId="0" borderId="64" xfId="0" applyFont="1" applyFill="1" applyBorder="1"/>
    <xf numFmtId="0" fontId="0" fillId="0" borderId="19" xfId="0" applyFont="1" applyFill="1" applyBorder="1"/>
    <xf numFmtId="0" fontId="0" fillId="0" borderId="20" xfId="0" applyFont="1" applyFill="1" applyBorder="1"/>
    <xf numFmtId="0" fontId="33" fillId="0" borderId="64" xfId="0" applyFont="1" applyFill="1" applyBorder="1"/>
    <xf numFmtId="0" fontId="34" fillId="0" borderId="20" xfId="0" applyFont="1" applyFill="1" applyBorder="1" applyAlignment="1">
      <alignment horizontal="right"/>
    </xf>
    <xf numFmtId="0" fontId="12" fillId="14" borderId="179" xfId="0" applyFont="1" applyFill="1" applyBorder="1" applyAlignment="1">
      <alignment horizontal="center" wrapText="1"/>
    </xf>
    <xf numFmtId="0" fontId="0" fillId="0" borderId="90" xfId="0" applyFill="1" applyBorder="1"/>
    <xf numFmtId="0" fontId="0" fillId="0" borderId="91" xfId="0" applyFill="1" applyBorder="1"/>
    <xf numFmtId="0" fontId="0" fillId="0" borderId="92" xfId="0" applyFill="1" applyBorder="1"/>
    <xf numFmtId="4" fontId="26" fillId="0" borderId="21" xfId="0" applyNumberFormat="1" applyFont="1" applyFill="1" applyBorder="1" applyAlignment="1">
      <alignment vertical="center"/>
    </xf>
    <xf numFmtId="0" fontId="12" fillId="6" borderId="179" xfId="0" applyFont="1" applyFill="1" applyBorder="1" applyAlignment="1">
      <alignment wrapText="1"/>
    </xf>
    <xf numFmtId="2" fontId="13" fillId="5" borderId="29" xfId="0" applyNumberFormat="1" applyFont="1" applyFill="1" applyBorder="1" applyAlignment="1">
      <alignment horizontal="right"/>
    </xf>
    <xf numFmtId="0" fontId="55" fillId="4" borderId="19" xfId="0" applyFont="1" applyFill="1" applyBorder="1"/>
    <xf numFmtId="0" fontId="56" fillId="4" borderId="21" xfId="0" applyFont="1" applyFill="1" applyBorder="1"/>
    <xf numFmtId="0" fontId="56" fillId="4" borderId="24" xfId="0" applyFont="1" applyFill="1" applyBorder="1"/>
    <xf numFmtId="0" fontId="56" fillId="2" borderId="24" xfId="0" applyFont="1" applyFill="1" applyBorder="1"/>
    <xf numFmtId="0" fontId="55" fillId="0" borderId="19" xfId="0" applyFont="1" applyFill="1" applyBorder="1"/>
    <xf numFmtId="0" fontId="68" fillId="5" borderId="27" xfId="0" applyFont="1" applyFill="1" applyBorder="1" applyAlignment="1">
      <alignment horizontal="right"/>
    </xf>
    <xf numFmtId="0" fontId="55" fillId="5" borderId="28" xfId="0" applyFont="1" applyFill="1" applyBorder="1"/>
    <xf numFmtId="0" fontId="55" fillId="5" borderId="29" xfId="0" applyFont="1" applyFill="1" applyBorder="1"/>
    <xf numFmtId="0" fontId="55" fillId="5" borderId="30" xfId="0" applyFont="1" applyFill="1" applyBorder="1"/>
    <xf numFmtId="0" fontId="55" fillId="5" borderId="31" xfId="0" applyFont="1" applyFill="1" applyBorder="1"/>
    <xf numFmtId="0" fontId="55" fillId="5" borderId="32" xfId="0" applyFont="1" applyFill="1" applyBorder="1"/>
    <xf numFmtId="0" fontId="56" fillId="4" borderId="23" xfId="0" applyFont="1" applyFill="1" applyBorder="1"/>
    <xf numFmtId="0" fontId="55" fillId="5" borderId="24" xfId="0" applyFont="1" applyFill="1" applyBorder="1"/>
    <xf numFmtId="0" fontId="56" fillId="4" borderId="20" xfId="0" applyFont="1" applyFill="1" applyBorder="1"/>
    <xf numFmtId="0" fontId="56" fillId="4" borderId="19" xfId="0" applyFont="1" applyFill="1" applyBorder="1"/>
    <xf numFmtId="0" fontId="56" fillId="0" borderId="19" xfId="0" applyFont="1" applyBorder="1"/>
    <xf numFmtId="0" fontId="55" fillId="0" borderId="108" xfId="0" applyFont="1" applyBorder="1"/>
    <xf numFmtId="0" fontId="33" fillId="4" borderId="108" xfId="0" applyFont="1" applyFill="1" applyBorder="1"/>
    <xf numFmtId="0" fontId="56" fillId="4" borderId="52" xfId="0" applyFont="1" applyFill="1" applyBorder="1"/>
    <xf numFmtId="0" fontId="56" fillId="4" borderId="49" xfId="0" applyFont="1" applyFill="1" applyBorder="1"/>
    <xf numFmtId="0" fontId="33" fillId="0" borderId="108" xfId="0" applyFont="1" applyBorder="1"/>
    <xf numFmtId="0" fontId="56" fillId="0" borderId="56" xfId="0" applyFont="1" applyBorder="1"/>
    <xf numFmtId="0" fontId="34" fillId="8" borderId="110" xfId="0" applyFont="1" applyFill="1" applyBorder="1" applyAlignment="1">
      <alignment horizontal="right"/>
    </xf>
    <xf numFmtId="0" fontId="67" fillId="4" borderId="21" xfId="0" applyFont="1" applyFill="1" applyBorder="1"/>
    <xf numFmtId="0" fontId="55" fillId="8" borderId="61" xfId="0" applyFont="1" applyFill="1" applyBorder="1"/>
    <xf numFmtId="0" fontId="55" fillId="4" borderId="53" xfId="0" applyFont="1" applyFill="1" applyBorder="1"/>
    <xf numFmtId="0" fontId="55" fillId="4" borderId="49" xfId="0" applyFont="1" applyFill="1" applyBorder="1"/>
    <xf numFmtId="0" fontId="55" fillId="4" borderId="54" xfId="0" applyFont="1" applyFill="1" applyBorder="1"/>
    <xf numFmtId="0" fontId="55" fillId="8" borderId="29" xfId="0" applyFont="1" applyFill="1" applyBorder="1" applyAlignment="1">
      <alignment horizontal="right"/>
    </xf>
    <xf numFmtId="0" fontId="68" fillId="8" borderId="30" xfId="0" applyFont="1" applyFill="1" applyBorder="1" applyAlignment="1">
      <alignment horizontal="right"/>
    </xf>
    <xf numFmtId="0" fontId="68" fillId="8" borderId="32" xfId="0" applyFont="1" applyFill="1" applyBorder="1" applyAlignment="1">
      <alignment horizontal="right"/>
    </xf>
    <xf numFmtId="0" fontId="55" fillId="8" borderId="28" xfId="0" applyFont="1" applyFill="1" applyBorder="1"/>
    <xf numFmtId="0" fontId="55" fillId="8" borderId="29" xfId="0" applyFont="1" applyFill="1" applyBorder="1"/>
    <xf numFmtId="0" fontId="55" fillId="8" borderId="33" xfId="0" applyFont="1" applyFill="1" applyBorder="1"/>
    <xf numFmtId="0" fontId="39" fillId="0" borderId="18" xfId="0" applyFont="1" applyBorder="1" applyAlignment="1">
      <alignment vertical="center" wrapText="1"/>
    </xf>
    <xf numFmtId="168" fontId="67" fillId="0" borderId="21" xfId="0" applyNumberFormat="1" applyFont="1" applyBorder="1"/>
    <xf numFmtId="0" fontId="155" fillId="0" borderId="24" xfId="0" applyFont="1" applyBorder="1"/>
    <xf numFmtId="168" fontId="67" fillId="0" borderId="21" xfId="0" applyNumberFormat="1" applyFont="1" applyBorder="1" applyAlignment="1"/>
    <xf numFmtId="168" fontId="155" fillId="0" borderId="21" xfId="0" applyNumberFormat="1" applyFont="1" applyBorder="1" applyAlignment="1"/>
    <xf numFmtId="0" fontId="39" fillId="0" borderId="26" xfId="0" applyFont="1" applyBorder="1" applyAlignment="1">
      <alignment vertical="center" wrapText="1"/>
    </xf>
    <xf numFmtId="168" fontId="68" fillId="5" borderId="29" xfId="0" applyNumberFormat="1" applyFont="1" applyFill="1" applyBorder="1" applyAlignment="1">
      <alignment horizontal="right"/>
    </xf>
    <xf numFmtId="0" fontId="12" fillId="3" borderId="200" xfId="0" applyFont="1" applyFill="1" applyBorder="1" applyAlignment="1">
      <alignment wrapText="1"/>
    </xf>
    <xf numFmtId="0" fontId="12" fillId="3" borderId="201" xfId="0" applyFont="1" applyFill="1" applyBorder="1" applyAlignment="1">
      <alignment wrapText="1"/>
    </xf>
    <xf numFmtId="0" fontId="12" fillId="3" borderId="203" xfId="0" applyFont="1" applyFill="1" applyBorder="1" applyAlignment="1">
      <alignment wrapText="1"/>
    </xf>
    <xf numFmtId="0" fontId="12" fillId="6" borderId="200" xfId="0" applyFont="1" applyFill="1" applyBorder="1"/>
    <xf numFmtId="0" fontId="12" fillId="6" borderId="201" xfId="0" applyFont="1" applyFill="1" applyBorder="1" applyAlignment="1">
      <alignment horizontal="center" wrapText="1"/>
    </xf>
    <xf numFmtId="0" fontId="15" fillId="0" borderId="205" xfId="0" applyFont="1" applyFill="1" applyBorder="1" applyAlignment="1">
      <alignment horizontal="left" vertical="center" wrapText="1"/>
    </xf>
    <xf numFmtId="0" fontId="12" fillId="6" borderId="201" xfId="0" applyFont="1" applyFill="1" applyBorder="1" applyAlignment="1">
      <alignment wrapText="1"/>
    </xf>
    <xf numFmtId="0" fontId="28" fillId="6" borderId="202" xfId="0" applyFont="1" applyFill="1" applyBorder="1" applyAlignment="1">
      <alignment horizontal="centerContinuous" wrapText="1"/>
    </xf>
    <xf numFmtId="0" fontId="28" fillId="6" borderId="204" xfId="0" applyFont="1" applyFill="1" applyBorder="1" applyAlignment="1">
      <alignment horizontal="centerContinuous" wrapText="1"/>
    </xf>
    <xf numFmtId="0" fontId="33" fillId="4" borderId="19" xfId="0" applyFont="1" applyFill="1" applyBorder="1" applyAlignment="1">
      <alignment vertical="top"/>
    </xf>
    <xf numFmtId="0" fontId="12" fillId="9" borderId="200" xfId="0" applyFont="1" applyFill="1" applyBorder="1" applyAlignment="1">
      <alignment wrapText="1"/>
    </xf>
    <xf numFmtId="0" fontId="36" fillId="9" borderId="201" xfId="0" applyFont="1" applyFill="1" applyBorder="1" applyAlignment="1">
      <alignment horizontal="center" wrapText="1"/>
    </xf>
    <xf numFmtId="0" fontId="29" fillId="11" borderId="202" xfId="0" applyFont="1" applyFill="1" applyBorder="1" applyAlignment="1">
      <alignment horizontal="centerContinuous" wrapText="1"/>
    </xf>
    <xf numFmtId="0" fontId="29" fillId="11" borderId="204" xfId="0" applyFont="1" applyFill="1" applyBorder="1" applyAlignment="1">
      <alignment horizontal="centerContinuous" wrapText="1"/>
    </xf>
    <xf numFmtId="0" fontId="28" fillId="11" borderId="207" xfId="0" applyFont="1" applyFill="1" applyBorder="1" applyAlignment="1">
      <alignment horizontal="center" wrapText="1"/>
    </xf>
    <xf numFmtId="0" fontId="28" fillId="11" borderId="202" xfId="0" applyFont="1" applyFill="1" applyBorder="1" applyAlignment="1">
      <alignment horizontal="centerContinuous" wrapText="1"/>
    </xf>
    <xf numFmtId="0" fontId="28" fillId="12" borderId="208" xfId="0" applyFont="1" applyFill="1" applyBorder="1" applyAlignment="1">
      <alignment horizontal="centerContinuous" wrapText="1"/>
    </xf>
    <xf numFmtId="0" fontId="28" fillId="12" borderId="209" xfId="0" applyFont="1" applyFill="1" applyBorder="1" applyAlignment="1">
      <alignment horizontal="centerContinuous" wrapText="1"/>
    </xf>
    <xf numFmtId="0" fontId="28" fillId="12" borderId="210" xfId="0" applyFont="1" applyFill="1" applyBorder="1" applyAlignment="1">
      <alignment horizontal="centerContinuous" wrapText="1"/>
    </xf>
    <xf numFmtId="0" fontId="28" fillId="12" borderId="202" xfId="0" applyFont="1" applyFill="1" applyBorder="1" applyAlignment="1">
      <alignment horizontal="centerContinuous" wrapText="1"/>
    </xf>
    <xf numFmtId="0" fontId="28" fillId="12" borderId="213" xfId="0" applyFont="1" applyFill="1" applyBorder="1" applyAlignment="1">
      <alignment horizontal="centerContinuous" wrapText="1"/>
    </xf>
    <xf numFmtId="0" fontId="28" fillId="12" borderId="204" xfId="0" applyFont="1" applyFill="1" applyBorder="1" applyAlignment="1">
      <alignment horizontal="centerContinuous" wrapText="1"/>
    </xf>
    <xf numFmtId="0" fontId="0" fillId="7" borderId="205" xfId="0" applyFont="1" applyFill="1" applyBorder="1"/>
    <xf numFmtId="0" fontId="0" fillId="12" borderId="202" xfId="0" applyFont="1" applyFill="1" applyBorder="1" applyAlignment="1">
      <alignment wrapText="1"/>
    </xf>
    <xf numFmtId="0" fontId="34" fillId="4" borderId="214" xfId="0" applyFont="1" applyFill="1" applyBorder="1"/>
    <xf numFmtId="0" fontId="34" fillId="8" borderId="214" xfId="0" applyFont="1" applyFill="1" applyBorder="1"/>
    <xf numFmtId="0" fontId="28" fillId="13" borderId="202" xfId="0" applyFont="1" applyFill="1" applyBorder="1" applyAlignment="1">
      <alignment horizontal="centerContinuous" wrapText="1"/>
    </xf>
    <xf numFmtId="0" fontId="28" fillId="13" borderId="213" xfId="0" applyFont="1" applyFill="1" applyBorder="1" applyAlignment="1">
      <alignment horizontal="centerContinuous" wrapText="1"/>
    </xf>
    <xf numFmtId="0" fontId="12" fillId="14" borderId="200" xfId="0" applyFont="1" applyFill="1" applyBorder="1" applyAlignment="1">
      <alignment wrapText="1"/>
    </xf>
    <xf numFmtId="0" fontId="15" fillId="14" borderId="202" xfId="0" applyFont="1" applyFill="1" applyBorder="1" applyAlignment="1">
      <alignment wrapText="1"/>
    </xf>
    <xf numFmtId="0" fontId="12" fillId="11" borderId="200" xfId="0" applyFont="1" applyFill="1" applyBorder="1" applyAlignment="1">
      <alignment horizontal="left" vertical="center" wrapText="1"/>
    </xf>
    <xf numFmtId="0" fontId="26" fillId="31" borderId="21" xfId="0" applyFont="1" applyFill="1" applyBorder="1"/>
    <xf numFmtId="0" fontId="0" fillId="0" borderId="20" xfId="0" applyNumberFormat="1" applyBorder="1"/>
    <xf numFmtId="0" fontId="10" fillId="3" borderId="17" xfId="0" applyFont="1" applyFill="1" applyBorder="1" applyAlignment="1">
      <alignment wrapText="1"/>
    </xf>
    <xf numFmtId="0" fontId="10" fillId="3" borderId="18" xfId="0" applyFont="1" applyFill="1" applyBorder="1" applyAlignment="1">
      <alignment horizontal="center" wrapText="1"/>
    </xf>
    <xf numFmtId="0" fontId="8" fillId="3" borderId="19" xfId="0" applyFont="1" applyFill="1" applyBorder="1" applyAlignment="1">
      <alignment wrapText="1"/>
    </xf>
    <xf numFmtId="0" fontId="8" fillId="3" borderId="20" xfId="0" applyFont="1" applyFill="1" applyBorder="1" applyAlignment="1">
      <alignment horizontal="center" wrapText="1"/>
    </xf>
    <xf numFmtId="0" fontId="8" fillId="3" borderId="21" xfId="0" applyFont="1" applyFill="1" applyBorder="1" applyAlignment="1">
      <alignment horizontal="center" wrapText="1"/>
    </xf>
    <xf numFmtId="0" fontId="10" fillId="3" borderId="22" xfId="0" applyFont="1" applyFill="1" applyBorder="1" applyAlignment="1">
      <alignment horizontal="center" wrapText="1"/>
    </xf>
    <xf numFmtId="0" fontId="162" fillId="3" borderId="23" xfId="0" applyFont="1" applyFill="1" applyBorder="1" applyAlignment="1">
      <alignment wrapText="1"/>
    </xf>
    <xf numFmtId="0" fontId="8" fillId="3" borderId="21" xfId="0" applyFont="1" applyFill="1" applyBorder="1" applyAlignment="1">
      <alignment wrapText="1"/>
    </xf>
    <xf numFmtId="0" fontId="162" fillId="3" borderId="21" xfId="0" applyFont="1" applyFill="1" applyBorder="1" applyAlignment="1">
      <alignment wrapText="1"/>
    </xf>
    <xf numFmtId="0" fontId="8" fillId="3" borderId="24" xfId="0" applyFont="1" applyFill="1" applyBorder="1" applyAlignment="1">
      <alignment wrapText="1"/>
    </xf>
    <xf numFmtId="0" fontId="34" fillId="11" borderId="48" xfId="0" applyFont="1" applyFill="1" applyBorder="1" applyAlignment="1">
      <alignment horizontal="centerContinuous" wrapText="1"/>
    </xf>
    <xf numFmtId="0" fontId="34" fillId="11" borderId="117" xfId="0" applyFont="1" applyFill="1" applyBorder="1" applyAlignment="1">
      <alignment horizontal="centerContinuous" wrapText="1"/>
    </xf>
    <xf numFmtId="0" fontId="34" fillId="11" borderId="120" xfId="0" applyFont="1" applyFill="1" applyBorder="1" applyAlignment="1">
      <alignment horizontal="centerContinuous" wrapText="1"/>
    </xf>
    <xf numFmtId="0" fontId="0" fillId="11" borderId="20" xfId="0" applyFont="1" applyFill="1" applyBorder="1" applyAlignment="1">
      <alignment wrapText="1"/>
    </xf>
    <xf numFmtId="0" fontId="0" fillId="11" borderId="21" xfId="0" applyFont="1" applyFill="1" applyBorder="1" applyAlignment="1">
      <alignment wrapText="1"/>
    </xf>
    <xf numFmtId="0" fontId="163" fillId="11" borderId="52" xfId="0" applyFont="1" applyFill="1" applyBorder="1" applyAlignment="1">
      <alignment wrapText="1"/>
    </xf>
    <xf numFmtId="0" fontId="0" fillId="11" borderId="49" xfId="0" applyFont="1" applyFill="1" applyBorder="1" applyAlignment="1">
      <alignment wrapText="1"/>
    </xf>
    <xf numFmtId="0" fontId="0" fillId="11" borderId="53" xfId="0" applyFont="1" applyFill="1" applyBorder="1" applyAlignment="1">
      <alignment wrapText="1"/>
    </xf>
    <xf numFmtId="0" fontId="163" fillId="11" borderId="53" xfId="0" applyFont="1" applyFill="1" applyBorder="1" applyAlignment="1">
      <alignment wrapText="1"/>
    </xf>
    <xf numFmtId="0" fontId="0" fillId="11" borderId="54" xfId="0" applyFont="1" applyFill="1" applyBorder="1" applyAlignment="1">
      <alignment wrapText="1"/>
    </xf>
    <xf numFmtId="2" fontId="26" fillId="0" borderId="21" xfId="0" applyNumberFormat="1" applyFont="1" applyBorder="1"/>
    <xf numFmtId="0" fontId="13" fillId="5" borderId="55" xfId="0" applyFont="1" applyFill="1" applyBorder="1" applyAlignment="1">
      <alignment horizontal="right"/>
    </xf>
    <xf numFmtId="0" fontId="0" fillId="8" borderId="0" xfId="0" applyFill="1" applyBorder="1"/>
    <xf numFmtId="164" fontId="26" fillId="0" borderId="21" xfId="0" applyNumberFormat="1" applyFont="1" applyBorder="1"/>
    <xf numFmtId="164" fontId="13" fillId="5" borderId="29" xfId="0" applyNumberFormat="1" applyFont="1" applyFill="1" applyBorder="1" applyAlignment="1">
      <alignment horizontal="right"/>
    </xf>
    <xf numFmtId="164" fontId="0" fillId="0" borderId="0" xfId="0" applyNumberFormat="1"/>
    <xf numFmtId="0" fontId="12" fillId="3" borderId="215" xfId="0" applyFont="1" applyFill="1" applyBorder="1" applyAlignment="1">
      <alignment wrapText="1"/>
    </xf>
    <xf numFmtId="3" fontId="33" fillId="0" borderId="21" xfId="0" applyNumberFormat="1" applyFont="1" applyBorder="1"/>
    <xf numFmtId="3" fontId="0" fillId="0" borderId="56" xfId="0" applyNumberFormat="1" applyBorder="1"/>
    <xf numFmtId="0" fontId="0" fillId="0" borderId="215" xfId="0" applyBorder="1"/>
    <xf numFmtId="4" fontId="0" fillId="0" borderId="21" xfId="0" applyNumberFormat="1" applyBorder="1"/>
    <xf numFmtId="0" fontId="56" fillId="7" borderId="135" xfId="0" applyFont="1" applyFill="1" applyBorder="1"/>
    <xf numFmtId="0" fontId="56" fillId="7" borderId="216" xfId="0" applyFont="1" applyFill="1" applyBorder="1"/>
    <xf numFmtId="0" fontId="56" fillId="7" borderId="141" xfId="0" applyFont="1" applyFill="1" applyBorder="1"/>
    <xf numFmtId="0" fontId="0" fillId="2" borderId="19" xfId="0" applyFill="1" applyBorder="1"/>
    <xf numFmtId="0" fontId="179" fillId="0" borderId="0" xfId="0" applyFont="1" applyBorder="1"/>
    <xf numFmtId="0" fontId="28" fillId="6" borderId="129" xfId="0" applyFont="1" applyFill="1" applyBorder="1" applyAlignment="1">
      <alignment horizontal="centerContinuous" wrapText="1"/>
    </xf>
    <xf numFmtId="0" fontId="28" fillId="6" borderId="50" xfId="0" applyFont="1" applyFill="1" applyBorder="1" applyAlignment="1">
      <alignment wrapText="1"/>
    </xf>
    <xf numFmtId="0" fontId="26" fillId="0" borderId="24" xfId="0" applyFont="1" applyBorder="1" applyAlignment="1">
      <alignment horizontal="center" vertical="center"/>
    </xf>
    <xf numFmtId="0" fontId="0" fillId="0" borderId="0" xfId="0" applyBorder="1" applyAlignment="1">
      <alignment horizontal="center" vertical="center"/>
    </xf>
    <xf numFmtId="0" fontId="0" fillId="7" borderId="0" xfId="0" applyFill="1" applyAlignment="1">
      <alignment horizontal="left" vertical="center"/>
    </xf>
    <xf numFmtId="0" fontId="36" fillId="0" borderId="0" xfId="0" applyFont="1"/>
    <xf numFmtId="168" fontId="26" fillId="0" borderId="21" xfId="0" applyNumberFormat="1" applyFont="1" applyBorder="1"/>
    <xf numFmtId="0" fontId="28" fillId="11" borderId="50" xfId="0" applyFont="1" applyFill="1" applyBorder="1" applyAlignment="1">
      <alignment horizontal="center" wrapText="1"/>
    </xf>
    <xf numFmtId="0" fontId="0" fillId="0" borderId="42" xfId="0" applyBorder="1"/>
    <xf numFmtId="0" fontId="0" fillId="0" borderId="93" xfId="0" applyBorder="1"/>
    <xf numFmtId="0" fontId="0" fillId="0" borderId="0" xfId="0" applyAlignment="1">
      <alignment vertical="center" wrapText="1"/>
    </xf>
    <xf numFmtId="0" fontId="28" fillId="11" borderId="181" xfId="0" applyFont="1" applyFill="1" applyBorder="1" applyAlignment="1">
      <alignment horizontal="center" wrapText="1"/>
    </xf>
    <xf numFmtId="0" fontId="12" fillId="6" borderId="179" xfId="0" applyFont="1" applyFill="1" applyBorder="1" applyAlignment="1">
      <alignment horizontal="center" wrapText="1"/>
    </xf>
    <xf numFmtId="0" fontId="28" fillId="11" borderId="50" xfId="0" applyFont="1" applyFill="1" applyBorder="1" applyAlignment="1">
      <alignment horizontal="center" wrapText="1"/>
    </xf>
    <xf numFmtId="0" fontId="0" fillId="0" borderId="42" xfId="0" applyBorder="1"/>
    <xf numFmtId="0" fontId="0" fillId="0" borderId="93" xfId="0" applyBorder="1"/>
    <xf numFmtId="0" fontId="0" fillId="0" borderId="0" xfId="0" applyAlignment="1">
      <alignment vertical="center" wrapText="1"/>
    </xf>
    <xf numFmtId="0" fontId="28" fillId="11" borderId="207" xfId="0" applyFont="1" applyFill="1" applyBorder="1" applyAlignment="1">
      <alignment horizontal="center" wrapText="1"/>
    </xf>
    <xf numFmtId="0" fontId="13" fillId="3" borderId="219" xfId="0" applyFont="1" applyFill="1" applyBorder="1" applyAlignment="1">
      <alignment horizontal="centerContinuous" wrapText="1"/>
    </xf>
    <xf numFmtId="0" fontId="0" fillId="2" borderId="24" xfId="0" applyFill="1" applyBorder="1" applyAlignment="1">
      <alignment horizontal="right"/>
    </xf>
    <xf numFmtId="3" fontId="0" fillId="0" borderId="23" xfId="0" applyNumberFormat="1" applyBorder="1" applyAlignment="1">
      <alignment horizontal="right"/>
    </xf>
    <xf numFmtId="3" fontId="0" fillId="0" borderId="21" xfId="0" applyNumberFormat="1" applyBorder="1" applyAlignment="1">
      <alignment horizontal="right"/>
    </xf>
    <xf numFmtId="0" fontId="15" fillId="6" borderId="221" xfId="0" applyFont="1" applyFill="1" applyBorder="1" applyAlignment="1">
      <alignment horizontal="center" wrapText="1"/>
    </xf>
    <xf numFmtId="3" fontId="55" fillId="0" borderId="20" xfId="0" applyNumberFormat="1" applyFont="1" applyBorder="1"/>
    <xf numFmtId="3" fontId="55" fillId="0" borderId="19" xfId="0" applyNumberFormat="1" applyFont="1" applyBorder="1"/>
    <xf numFmtId="0" fontId="12" fillId="6" borderId="219" xfId="0" applyFont="1" applyFill="1" applyBorder="1"/>
    <xf numFmtId="0" fontId="16" fillId="6" borderId="222" xfId="0" applyFont="1" applyFill="1" applyBorder="1" applyAlignment="1">
      <alignment wrapText="1"/>
    </xf>
    <xf numFmtId="0" fontId="16" fillId="9" borderId="222" xfId="0" applyFont="1" applyFill="1" applyBorder="1" applyAlignment="1">
      <alignment wrapText="1"/>
    </xf>
    <xf numFmtId="0" fontId="29" fillId="11" borderId="175" xfId="0" applyFont="1" applyFill="1" applyBorder="1" applyAlignment="1">
      <alignment horizontal="centerContinuous" wrapText="1"/>
    </xf>
    <xf numFmtId="0" fontId="0" fillId="0" borderId="20" xfId="0" applyBorder="1" applyAlignment="1">
      <alignment horizontal="right"/>
    </xf>
    <xf numFmtId="0" fontId="28" fillId="11" borderId="218" xfId="0" applyFont="1" applyFill="1" applyBorder="1" applyAlignment="1">
      <alignment horizontal="centerContinuous" wrapText="1"/>
    </xf>
    <xf numFmtId="0" fontId="28" fillId="11" borderId="222" xfId="0" applyFont="1" applyFill="1" applyBorder="1" applyAlignment="1">
      <alignment horizontal="centerContinuous" wrapText="1"/>
    </xf>
    <xf numFmtId="0" fontId="46" fillId="12" borderId="220" xfId="0" applyFont="1" applyFill="1" applyBorder="1" applyAlignment="1">
      <alignment horizontal="left" wrapText="1"/>
    </xf>
    <xf numFmtId="0" fontId="34" fillId="12" borderId="223" xfId="0" applyFont="1" applyFill="1" applyBorder="1" applyAlignment="1">
      <alignment wrapText="1"/>
    </xf>
    <xf numFmtId="0" fontId="28" fillId="13" borderId="218" xfId="0" applyFont="1" applyFill="1" applyBorder="1" applyAlignment="1">
      <alignment horizontal="centerContinuous" wrapText="1"/>
    </xf>
    <xf numFmtId="0" fontId="28" fillId="13" borderId="222" xfId="0" applyFont="1" applyFill="1" applyBorder="1" applyAlignment="1">
      <alignment wrapText="1"/>
    </xf>
    <xf numFmtId="0" fontId="15" fillId="14" borderId="221" xfId="0" applyFont="1" applyFill="1" applyBorder="1" applyAlignment="1">
      <alignment wrapText="1"/>
    </xf>
    <xf numFmtId="0" fontId="15" fillId="14" borderId="224" xfId="0" applyFont="1" applyFill="1" applyBorder="1" applyAlignment="1">
      <alignment wrapText="1"/>
    </xf>
    <xf numFmtId="0" fontId="15" fillId="14" borderId="225" xfId="0" applyFont="1" applyFill="1" applyBorder="1" applyAlignment="1">
      <alignment wrapText="1"/>
    </xf>
    <xf numFmtId="0" fontId="0" fillId="0" borderId="21" xfId="0" applyBorder="1" applyAlignment="1">
      <alignment horizontal="right"/>
    </xf>
    <xf numFmtId="0" fontId="5" fillId="2" borderId="226" xfId="0" applyFont="1" applyFill="1" applyBorder="1" applyAlignment="1">
      <alignment horizontal="centerContinuous"/>
    </xf>
    <xf numFmtId="0" fontId="0" fillId="2" borderId="227" xfId="0" applyFill="1" applyBorder="1" applyAlignment="1">
      <alignment horizontal="centerContinuous"/>
    </xf>
    <xf numFmtId="0" fontId="12" fillId="3" borderId="229" xfId="0" applyFont="1" applyFill="1" applyBorder="1" applyAlignment="1">
      <alignment wrapText="1"/>
    </xf>
    <xf numFmtId="0" fontId="12" fillId="6" borderId="229" xfId="0" applyFont="1" applyFill="1" applyBorder="1"/>
    <xf numFmtId="0" fontId="12" fillId="9" borderId="229" xfId="0" applyFont="1" applyFill="1" applyBorder="1" applyAlignment="1">
      <alignment wrapText="1"/>
    </xf>
    <xf numFmtId="0" fontId="12" fillId="14" borderId="229" xfId="0" applyFont="1" applyFill="1" applyBorder="1" applyAlignment="1">
      <alignment wrapText="1"/>
    </xf>
    <xf numFmtId="0" fontId="12" fillId="11" borderId="229" xfId="0" applyFont="1" applyFill="1" applyBorder="1" applyAlignment="1">
      <alignment horizontal="left" vertical="center" wrapText="1"/>
    </xf>
    <xf numFmtId="4" fontId="26" fillId="0" borderId="21" xfId="0" applyNumberFormat="1" applyFont="1" applyBorder="1" applyAlignment="1">
      <alignment horizontal="right"/>
    </xf>
    <xf numFmtId="0" fontId="26" fillId="0" borderId="21" xfId="0" applyFont="1" applyBorder="1" applyAlignment="1">
      <alignment horizontal="right"/>
    </xf>
    <xf numFmtId="0" fontId="67" fillId="0" borderId="133" xfId="0" applyFont="1" applyBorder="1" applyAlignment="1">
      <alignment horizontal="center"/>
    </xf>
    <xf numFmtId="0" fontId="55" fillId="0" borderId="136" xfId="0" applyFont="1" applyBorder="1" applyAlignment="1">
      <alignment horizontal="left" vertical="center" wrapText="1"/>
    </xf>
    <xf numFmtId="0" fontId="67" fillId="4" borderId="137" xfId="0" applyFont="1" applyFill="1" applyBorder="1" applyAlignment="1">
      <alignment horizontal="center"/>
    </xf>
    <xf numFmtId="0" fontId="61" fillId="33" borderId="29" xfId="0" applyFont="1" applyFill="1" applyBorder="1" applyAlignment="1">
      <alignment horizontal="right"/>
    </xf>
    <xf numFmtId="4" fontId="67" fillId="0" borderId="133" xfId="0" applyNumberFormat="1" applyFont="1" applyBorder="1" applyAlignment="1">
      <alignment vertical="center"/>
    </xf>
    <xf numFmtId="4" fontId="67" fillId="7" borderId="132" xfId="0" applyNumberFormat="1" applyFont="1" applyFill="1" applyBorder="1" applyAlignment="1">
      <alignment vertical="center" wrapText="1"/>
    </xf>
    <xf numFmtId="4" fontId="67" fillId="7" borderId="132" xfId="0" applyNumberFormat="1" applyFont="1" applyFill="1" applyBorder="1" applyAlignment="1">
      <alignment vertical="center"/>
    </xf>
    <xf numFmtId="4" fontId="0" fillId="0" borderId="0" xfId="0" applyNumberFormat="1" applyFont="1"/>
    <xf numFmtId="0" fontId="0" fillId="8" borderId="230" xfId="0" applyFill="1" applyBorder="1"/>
    <xf numFmtId="0" fontId="24" fillId="11" borderId="133" xfId="0" applyFont="1" applyFill="1" applyBorder="1" applyAlignment="1">
      <alignment wrapText="1"/>
    </xf>
    <xf numFmtId="0" fontId="15" fillId="11" borderId="133" xfId="0" applyFont="1" applyFill="1" applyBorder="1" applyAlignment="1">
      <alignment horizontal="center" wrapText="1"/>
    </xf>
    <xf numFmtId="4" fontId="26" fillId="0" borderId="133" xfId="0" applyNumberFormat="1" applyFont="1" applyBorder="1"/>
    <xf numFmtId="0" fontId="26" fillId="4" borderId="133" xfId="0" applyFont="1" applyFill="1" applyBorder="1" applyAlignment="1">
      <alignment vertical="center"/>
    </xf>
    <xf numFmtId="4" fontId="26" fillId="0" borderId="133" xfId="0" applyNumberFormat="1" applyFont="1" applyBorder="1" applyAlignment="1">
      <alignment vertical="center"/>
    </xf>
    <xf numFmtId="0" fontId="26" fillId="0" borderId="133" xfId="0" applyFont="1" applyBorder="1" applyAlignment="1">
      <alignment vertical="center"/>
    </xf>
    <xf numFmtId="0" fontId="0" fillId="0" borderId="0" xfId="0" applyAlignment="1">
      <alignment vertical="center"/>
    </xf>
    <xf numFmtId="0" fontId="13" fillId="5" borderId="133" xfId="0" applyFont="1" applyFill="1" applyBorder="1" applyAlignment="1">
      <alignment horizontal="right" vertical="center"/>
    </xf>
    <xf numFmtId="4" fontId="13" fillId="5" borderId="133" xfId="0" applyNumberFormat="1" applyFont="1" applyFill="1" applyBorder="1" applyAlignment="1">
      <alignment horizontal="right" vertical="center"/>
    </xf>
    <xf numFmtId="4" fontId="140" fillId="0" borderId="0" xfId="0" applyNumberFormat="1" applyFont="1"/>
    <xf numFmtId="0" fontId="135" fillId="0" borderId="0" xfId="0" applyFont="1"/>
    <xf numFmtId="0" fontId="28" fillId="11" borderId="50" xfId="0" applyFont="1" applyFill="1" applyBorder="1" applyAlignment="1">
      <alignment horizontal="center" wrapText="1"/>
    </xf>
    <xf numFmtId="0" fontId="51" fillId="0" borderId="0" xfId="0" applyFont="1" applyAlignment="1"/>
    <xf numFmtId="0" fontId="52" fillId="0" borderId="0" xfId="0" applyFont="1" applyAlignment="1"/>
    <xf numFmtId="0" fontId="0" fillId="0" borderId="93" xfId="0" applyBorder="1"/>
    <xf numFmtId="0" fontId="0" fillId="0" borderId="0" xfId="0" applyAlignment="1">
      <alignment vertical="center" wrapText="1"/>
    </xf>
    <xf numFmtId="0" fontId="0" fillId="0" borderId="0" xfId="0" applyAlignment="1"/>
    <xf numFmtId="0" fontId="12" fillId="6" borderId="231" xfId="0" applyFont="1" applyFill="1" applyBorder="1"/>
    <xf numFmtId="0" fontId="12" fillId="9" borderId="231" xfId="0" applyFont="1" applyFill="1" applyBorder="1" applyAlignment="1">
      <alignment wrapText="1"/>
    </xf>
    <xf numFmtId="0" fontId="12" fillId="14" borderId="231" xfId="0" applyFont="1" applyFill="1" applyBorder="1" applyAlignment="1">
      <alignment wrapText="1"/>
    </xf>
    <xf numFmtId="0" fontId="12" fillId="11" borderId="231" xfId="0" applyFont="1" applyFill="1" applyBorder="1" applyAlignment="1">
      <alignment horizontal="left" wrapText="1"/>
    </xf>
    <xf numFmtId="0" fontId="28" fillId="11" borderId="50" xfId="0" applyFont="1" applyFill="1" applyBorder="1" applyAlignment="1">
      <alignment horizontal="center" wrapText="1"/>
    </xf>
    <xf numFmtId="0" fontId="0" fillId="0" borderId="42" xfId="0" applyBorder="1"/>
    <xf numFmtId="0" fontId="0" fillId="0" borderId="93" xfId="0" applyBorder="1"/>
    <xf numFmtId="0" fontId="0" fillId="0" borderId="0" xfId="0" applyAlignment="1">
      <alignment vertical="center" wrapText="1"/>
    </xf>
    <xf numFmtId="0" fontId="5" fillId="2" borderId="232" xfId="0" applyFont="1" applyFill="1" applyBorder="1" applyAlignment="1">
      <alignment horizontal="centerContinuous"/>
    </xf>
    <xf numFmtId="0" fontId="0" fillId="2" borderId="233" xfId="0" applyFill="1" applyBorder="1" applyAlignment="1">
      <alignment horizontal="centerContinuous"/>
    </xf>
    <xf numFmtId="0" fontId="12" fillId="3" borderId="235" xfId="0" applyFont="1" applyFill="1" applyBorder="1" applyAlignment="1">
      <alignment wrapText="1"/>
    </xf>
    <xf numFmtId="0" fontId="12" fillId="3" borderId="236" xfId="0" applyFont="1" applyFill="1" applyBorder="1" applyAlignment="1">
      <alignment wrapText="1"/>
    </xf>
    <xf numFmtId="0" fontId="12" fillId="6" borderId="235" xfId="0" applyFont="1" applyFill="1" applyBorder="1"/>
    <xf numFmtId="0" fontId="12" fillId="6" borderId="236" xfId="0" applyFont="1" applyFill="1" applyBorder="1" applyAlignment="1">
      <alignment horizontal="center" wrapText="1"/>
    </xf>
    <xf numFmtId="0" fontId="15" fillId="0" borderId="239" xfId="0" applyFont="1" applyFill="1" applyBorder="1" applyAlignment="1">
      <alignment horizontal="left" vertical="center" wrapText="1"/>
    </xf>
    <xf numFmtId="0" fontId="12" fillId="6" borderId="236" xfId="0" applyFont="1" applyFill="1" applyBorder="1" applyAlignment="1">
      <alignment wrapText="1"/>
    </xf>
    <xf numFmtId="0" fontId="28" fillId="6" borderId="237" xfId="0" applyFont="1" applyFill="1" applyBorder="1" applyAlignment="1">
      <alignment horizontal="centerContinuous" wrapText="1"/>
    </xf>
    <xf numFmtId="0" fontId="28" fillId="6" borderId="238" xfId="0" applyFont="1" applyFill="1" applyBorder="1" applyAlignment="1">
      <alignment horizontal="centerContinuous" wrapText="1"/>
    </xf>
    <xf numFmtId="0" fontId="36" fillId="9" borderId="236" xfId="0" applyFont="1" applyFill="1" applyBorder="1" applyAlignment="1">
      <alignment horizontal="center" wrapText="1"/>
    </xf>
    <xf numFmtId="0" fontId="29" fillId="11" borderId="237" xfId="0" applyFont="1" applyFill="1" applyBorder="1" applyAlignment="1">
      <alignment horizontal="centerContinuous" wrapText="1"/>
    </xf>
    <xf numFmtId="0" fontId="29" fillId="11" borderId="238" xfId="0" applyFont="1" applyFill="1" applyBorder="1" applyAlignment="1">
      <alignment horizontal="centerContinuous" wrapText="1"/>
    </xf>
    <xf numFmtId="0" fontId="28" fillId="11" borderId="241" xfId="0" applyFont="1" applyFill="1" applyBorder="1" applyAlignment="1">
      <alignment horizontal="center" wrapText="1"/>
    </xf>
    <xf numFmtId="0" fontId="28" fillId="11" borderId="237" xfId="0" applyFont="1" applyFill="1" applyBorder="1" applyAlignment="1">
      <alignment horizontal="centerContinuous" wrapText="1"/>
    </xf>
    <xf numFmtId="0" fontId="28" fillId="12" borderId="242" xfId="0" applyFont="1" applyFill="1" applyBorder="1" applyAlignment="1">
      <alignment horizontal="centerContinuous" wrapText="1"/>
    </xf>
    <xf numFmtId="0" fontId="28" fillId="12" borderId="243" xfId="0" applyFont="1" applyFill="1" applyBorder="1" applyAlignment="1">
      <alignment horizontal="centerContinuous" wrapText="1"/>
    </xf>
    <xf numFmtId="0" fontId="28" fillId="12" borderId="244" xfId="0" applyFont="1" applyFill="1" applyBorder="1" applyAlignment="1">
      <alignment horizontal="centerContinuous" wrapText="1"/>
    </xf>
    <xf numFmtId="0" fontId="28" fillId="12" borderId="237" xfId="0" applyFont="1" applyFill="1" applyBorder="1" applyAlignment="1">
      <alignment horizontal="centerContinuous" wrapText="1"/>
    </xf>
    <xf numFmtId="0" fontId="28" fillId="12" borderId="247" xfId="0" applyFont="1" applyFill="1" applyBorder="1" applyAlignment="1">
      <alignment horizontal="centerContinuous" wrapText="1"/>
    </xf>
    <xf numFmtId="0" fontId="28" fillId="12" borderId="238" xfId="0" applyFont="1" applyFill="1" applyBorder="1" applyAlignment="1">
      <alignment horizontal="centerContinuous" wrapText="1"/>
    </xf>
    <xf numFmtId="0" fontId="0" fillId="7" borderId="239" xfId="0" applyFont="1" applyFill="1" applyBorder="1"/>
    <xf numFmtId="0" fontId="0" fillId="12" borderId="237" xfId="0" applyFont="1" applyFill="1" applyBorder="1" applyAlignment="1">
      <alignment wrapText="1"/>
    </xf>
    <xf numFmtId="0" fontId="28" fillId="13" borderId="237" xfId="0" applyFont="1" applyFill="1" applyBorder="1" applyAlignment="1">
      <alignment horizontal="centerContinuous" wrapText="1"/>
    </xf>
    <xf numFmtId="0" fontId="28" fillId="13" borderId="247" xfId="0" applyFont="1" applyFill="1" applyBorder="1" applyAlignment="1">
      <alignment horizontal="centerContinuous" wrapText="1"/>
    </xf>
    <xf numFmtId="0" fontId="15" fillId="14" borderId="237" xfId="0" applyFont="1" applyFill="1" applyBorder="1" applyAlignment="1">
      <alignment wrapText="1"/>
    </xf>
    <xf numFmtId="0" fontId="5" fillId="2" borderId="248" xfId="0" applyFont="1" applyFill="1" applyBorder="1" applyAlignment="1">
      <alignment horizontal="centerContinuous"/>
    </xf>
    <xf numFmtId="0" fontId="0" fillId="2" borderId="249" xfId="0" applyFill="1" applyBorder="1" applyAlignment="1">
      <alignment horizontal="centerContinuous"/>
    </xf>
    <xf numFmtId="0" fontId="12" fillId="3" borderId="251" xfId="0" applyFont="1" applyFill="1" applyBorder="1" applyAlignment="1">
      <alignment wrapText="1"/>
    </xf>
    <xf numFmtId="0" fontId="12" fillId="6" borderId="251" xfId="0" applyFont="1" applyFill="1" applyBorder="1"/>
    <xf numFmtId="0" fontId="12" fillId="9" borderId="251" xfId="0" applyFont="1" applyFill="1" applyBorder="1" applyAlignment="1">
      <alignment wrapText="1"/>
    </xf>
    <xf numFmtId="0" fontId="12" fillId="14" borderId="251" xfId="0" applyFont="1" applyFill="1" applyBorder="1" applyAlignment="1">
      <alignment wrapText="1"/>
    </xf>
    <xf numFmtId="0" fontId="12" fillId="11" borderId="251" xfId="0" applyFont="1" applyFill="1" applyBorder="1" applyAlignment="1">
      <alignment horizontal="left" vertical="center" wrapText="1"/>
    </xf>
    <xf numFmtId="0" fontId="12" fillId="3" borderId="253" xfId="0" applyFont="1" applyFill="1" applyBorder="1" applyAlignment="1">
      <alignment wrapText="1"/>
    </xf>
    <xf numFmtId="0" fontId="0" fillId="15" borderId="24" xfId="0" applyFill="1" applyBorder="1"/>
    <xf numFmtId="0" fontId="12" fillId="3" borderId="254" xfId="0" applyFont="1" applyFill="1" applyBorder="1" applyAlignment="1">
      <alignment wrapText="1"/>
    </xf>
    <xf numFmtId="0" fontId="0" fillId="0" borderId="55" xfId="0" applyFill="1" applyBorder="1"/>
    <xf numFmtId="0" fontId="0" fillId="0" borderId="256" xfId="0" applyBorder="1"/>
    <xf numFmtId="0" fontId="0" fillId="0" borderId="254" xfId="0" applyBorder="1"/>
    <xf numFmtId="0" fontId="34" fillId="4" borderId="257" xfId="0" applyFont="1" applyFill="1" applyBorder="1"/>
    <xf numFmtId="0" fontId="34" fillId="8" borderId="257" xfId="0" applyFont="1" applyFill="1" applyBorder="1"/>
    <xf numFmtId="0" fontId="0" fillId="0" borderId="255" xfId="0" applyBorder="1"/>
    <xf numFmtId="2" fontId="0" fillId="0" borderId="20" xfId="0" applyNumberFormat="1" applyBorder="1"/>
    <xf numFmtId="0" fontId="15" fillId="0" borderId="100" xfId="0" applyFont="1" applyBorder="1" applyAlignment="1">
      <alignment horizontal="left" vertical="center" wrapText="1"/>
    </xf>
    <xf numFmtId="0" fontId="0" fillId="0" borderId="41" xfId="0" applyBorder="1" applyAlignment="1">
      <alignment vertical="center" wrapText="1"/>
    </xf>
    <xf numFmtId="0" fontId="15" fillId="0" borderId="38" xfId="0" applyFont="1" applyBorder="1" applyAlignment="1">
      <alignment horizontal="left" vertical="center" wrapText="1"/>
    </xf>
    <xf numFmtId="0" fontId="0" fillId="0" borderId="42" xfId="0" applyBorder="1" applyAlignment="1">
      <alignment vertical="center" wrapText="1"/>
    </xf>
    <xf numFmtId="0" fontId="55" fillId="7" borderId="78" xfId="0" applyFont="1" applyFill="1" applyBorder="1" applyAlignment="1">
      <alignment horizontal="center" vertical="center" wrapText="1"/>
    </xf>
    <xf numFmtId="0" fontId="55" fillId="7" borderId="18" xfId="0" applyFont="1" applyFill="1" applyBorder="1" applyAlignment="1">
      <alignment horizontal="center" vertical="center" wrapText="1"/>
    </xf>
    <xf numFmtId="0" fontId="55" fillId="7" borderId="26" xfId="0" applyFont="1" applyFill="1" applyBorder="1" applyAlignment="1">
      <alignment horizontal="center" vertical="center" wrapText="1"/>
    </xf>
    <xf numFmtId="0" fontId="12" fillId="13" borderId="14" xfId="0" applyFont="1" applyFill="1" applyBorder="1" applyAlignment="1">
      <alignment horizontal="left"/>
    </xf>
    <xf numFmtId="0" fontId="12" fillId="13" borderId="23" xfId="0" applyFont="1" applyFill="1" applyBorder="1" applyAlignment="1">
      <alignment horizontal="left"/>
    </xf>
    <xf numFmtId="0" fontId="12" fillId="13" borderId="10" xfId="0" applyFont="1" applyFill="1" applyBorder="1" applyAlignment="1">
      <alignment horizontal="center" wrapText="1"/>
    </xf>
    <xf numFmtId="0" fontId="12" fillId="13" borderId="49" xfId="0" applyFont="1" applyFill="1" applyBorder="1" applyAlignment="1">
      <alignment horizontal="center" wrapText="1"/>
    </xf>
    <xf numFmtId="0" fontId="15" fillId="13" borderId="15" xfId="0" applyFont="1" applyFill="1" applyBorder="1" applyAlignment="1">
      <alignment horizontal="center" wrapText="1"/>
    </xf>
    <xf numFmtId="0" fontId="15" fillId="13" borderId="21" xfId="0" applyFont="1" applyFill="1" applyBorder="1" applyAlignment="1">
      <alignment horizontal="center" wrapText="1"/>
    </xf>
    <xf numFmtId="0" fontId="15" fillId="13" borderId="34" xfId="0" applyFont="1" applyFill="1" applyBorder="1" applyAlignment="1">
      <alignment horizontal="center" wrapText="1"/>
    </xf>
    <xf numFmtId="0" fontId="15" fillId="13" borderId="13" xfId="0" applyFont="1" applyFill="1" applyBorder="1" applyAlignment="1">
      <alignment horizontal="center" wrapText="1"/>
    </xf>
    <xf numFmtId="0" fontId="15" fillId="13" borderId="57" xfId="0" applyFont="1" applyFill="1" applyBorder="1" applyAlignment="1">
      <alignment horizontal="center" wrapText="1"/>
    </xf>
    <xf numFmtId="0" fontId="15" fillId="13" borderId="39" xfId="0" applyFont="1" applyFill="1" applyBorder="1" applyAlignment="1">
      <alignment horizontal="center" wrapText="1"/>
    </xf>
    <xf numFmtId="0" fontId="15" fillId="13" borderId="16" xfId="0" applyFont="1" applyFill="1" applyBorder="1" applyAlignment="1">
      <alignment horizontal="center" wrapText="1"/>
    </xf>
    <xf numFmtId="0" fontId="18" fillId="0" borderId="102" xfId="0" applyFont="1" applyBorder="1" applyAlignment="1">
      <alignment horizontal="left" vertical="center" wrapText="1"/>
    </xf>
    <xf numFmtId="0" fontId="1" fillId="0" borderId="105" xfId="0" applyFont="1" applyBorder="1" applyAlignment="1">
      <alignment vertical="center" wrapText="1"/>
    </xf>
    <xf numFmtId="0" fontId="18" fillId="0" borderId="100" xfId="0" applyFont="1" applyBorder="1" applyAlignment="1">
      <alignment horizontal="left" vertical="center" wrapText="1"/>
    </xf>
    <xf numFmtId="0" fontId="1" fillId="0" borderId="107" xfId="0" applyFont="1" applyBorder="1" applyAlignment="1">
      <alignment vertical="center" wrapText="1"/>
    </xf>
    <xf numFmtId="0" fontId="18" fillId="0" borderId="38" xfId="0" applyFont="1" applyBorder="1" applyAlignment="1">
      <alignment horizontal="left" vertical="center" wrapText="1"/>
    </xf>
    <xf numFmtId="0" fontId="1" fillId="0" borderId="109" xfId="0" applyFont="1" applyBorder="1" applyAlignment="1">
      <alignment vertical="center" wrapText="1"/>
    </xf>
    <xf numFmtId="0" fontId="28" fillId="0" borderId="103" xfId="0" applyFont="1" applyBorder="1" applyAlignment="1">
      <alignment horizontal="left" wrapText="1"/>
    </xf>
    <xf numFmtId="0" fontId="0" fillId="0" borderId="93" xfId="0" applyBorder="1" applyAlignment="1">
      <alignment wrapText="1"/>
    </xf>
    <xf numFmtId="0" fontId="28" fillId="0" borderId="101" xfId="0" applyFont="1" applyBorder="1" applyAlignment="1">
      <alignment horizontal="left" wrapText="1"/>
    </xf>
    <xf numFmtId="0" fontId="0" fillId="0" borderId="41" xfId="0" applyBorder="1" applyAlignment="1">
      <alignment wrapText="1"/>
    </xf>
    <xf numFmtId="0" fontId="28" fillId="0" borderId="104" xfId="0" applyFont="1" applyBorder="1" applyAlignment="1">
      <alignment horizontal="left" wrapText="1"/>
    </xf>
    <xf numFmtId="0" fontId="0" fillId="0" borderId="42" xfId="0" applyBorder="1" applyAlignment="1">
      <alignment wrapText="1"/>
    </xf>
    <xf numFmtId="0" fontId="27" fillId="13" borderId="45" xfId="0" applyFont="1" applyFill="1" applyBorder="1" applyAlignment="1">
      <alignment horizontal="left" wrapText="1"/>
    </xf>
    <xf numFmtId="0" fontId="27" fillId="13" borderId="17" xfId="0" applyFont="1" applyFill="1" applyBorder="1" applyAlignment="1">
      <alignment horizontal="left" wrapText="1"/>
    </xf>
    <xf numFmtId="0" fontId="28" fillId="13" borderId="46" xfId="0" applyFont="1" applyFill="1" applyBorder="1" applyAlignment="1">
      <alignment horizontal="center" wrapText="1"/>
    </xf>
    <xf numFmtId="0" fontId="28" fillId="13" borderId="50" xfId="0" applyFont="1" applyFill="1" applyBorder="1" applyAlignment="1">
      <alignment horizontal="center" wrapText="1"/>
    </xf>
    <xf numFmtId="0" fontId="28" fillId="13" borderId="48" xfId="0" applyFont="1" applyFill="1" applyBorder="1" applyAlignment="1">
      <alignment horizontal="center" wrapText="1"/>
    </xf>
    <xf numFmtId="0" fontId="28" fillId="13" borderId="13" xfId="0" applyFont="1" applyFill="1" applyBorder="1" applyAlignment="1">
      <alignment horizontal="center" wrapText="1"/>
    </xf>
    <xf numFmtId="0" fontId="28" fillId="13" borderId="36" xfId="0" applyFont="1" applyFill="1" applyBorder="1" applyAlignment="1">
      <alignment horizontal="center" wrapText="1"/>
    </xf>
    <xf numFmtId="0" fontId="28" fillId="0" borderId="100" xfId="0" applyFont="1" applyBorder="1" applyAlignment="1">
      <alignment horizontal="left" vertical="center" wrapText="1"/>
    </xf>
    <xf numFmtId="0" fontId="57" fillId="0" borderId="41" xfId="0" applyFont="1" applyBorder="1" applyAlignment="1"/>
    <xf numFmtId="0" fontId="28" fillId="0" borderId="38" xfId="0" applyFont="1" applyBorder="1" applyAlignment="1">
      <alignment horizontal="left"/>
    </xf>
    <xf numFmtId="0" fontId="57" fillId="0" borderId="42" xfId="0" applyFont="1" applyBorder="1" applyAlignment="1"/>
    <xf numFmtId="0" fontId="28" fillId="12" borderId="66" xfId="0" applyFont="1" applyFill="1" applyBorder="1" applyAlignment="1">
      <alignment horizontal="center" wrapText="1"/>
    </xf>
    <xf numFmtId="0" fontId="28" fillId="12" borderId="67" xfId="0" applyFont="1" applyFill="1" applyBorder="1" applyAlignment="1">
      <alignment horizontal="center" wrapText="1"/>
    </xf>
    <xf numFmtId="0" fontId="28" fillId="12" borderId="69" xfId="0" applyFont="1" applyFill="1" applyBorder="1" applyAlignment="1">
      <alignment horizontal="center" wrapText="1"/>
    </xf>
    <xf numFmtId="0" fontId="31" fillId="0" borderId="100" xfId="0" applyFont="1" applyBorder="1" applyAlignment="1">
      <alignment horizontal="left" vertical="center" wrapText="1"/>
    </xf>
    <xf numFmtId="0" fontId="0" fillId="0" borderId="41" xfId="0" applyBorder="1" applyAlignment="1"/>
    <xf numFmtId="0" fontId="0" fillId="0" borderId="42" xfId="0" applyBorder="1" applyAlignment="1"/>
    <xf numFmtId="0" fontId="27" fillId="12" borderId="9" xfId="0" applyFont="1" applyFill="1" applyBorder="1" applyAlignment="1">
      <alignment horizontal="left" wrapText="1"/>
    </xf>
    <xf numFmtId="0" fontId="27" fillId="12" borderId="100" xfId="0" applyFont="1" applyFill="1" applyBorder="1" applyAlignment="1">
      <alignment horizontal="left" wrapText="1"/>
    </xf>
    <xf numFmtId="0" fontId="36" fillId="12" borderId="10" xfId="0" applyFont="1" applyFill="1" applyBorder="1" applyAlignment="1">
      <alignment horizontal="center" wrapText="1"/>
    </xf>
    <xf numFmtId="0" fontId="36" fillId="12" borderId="18" xfId="0" applyFont="1" applyFill="1" applyBorder="1" applyAlignment="1">
      <alignment horizontal="center" wrapText="1"/>
    </xf>
    <xf numFmtId="0" fontId="28" fillId="12" borderId="71" xfId="0" applyFont="1" applyFill="1" applyBorder="1" applyAlignment="1">
      <alignment horizontal="center" wrapText="1"/>
    </xf>
    <xf numFmtId="0" fontId="28" fillId="12" borderId="73" xfId="0" applyFont="1" applyFill="1" applyBorder="1" applyAlignment="1">
      <alignment horizontal="center" wrapText="1"/>
    </xf>
    <xf numFmtId="0" fontId="28" fillId="12" borderId="46" xfId="0" applyFont="1" applyFill="1" applyBorder="1" applyAlignment="1">
      <alignment horizontal="center" wrapText="1"/>
    </xf>
    <xf numFmtId="0" fontId="28" fillId="12" borderId="50" xfId="0" applyFont="1" applyFill="1" applyBorder="1" applyAlignment="1">
      <alignment horizontal="center" wrapText="1"/>
    </xf>
    <xf numFmtId="0" fontId="27" fillId="11" borderId="45" xfId="0" applyFont="1" applyFill="1" applyBorder="1" applyAlignment="1">
      <alignment horizontal="left" wrapText="1"/>
    </xf>
    <xf numFmtId="0" fontId="27" fillId="11" borderId="17" xfId="0" applyFont="1" applyFill="1" applyBorder="1" applyAlignment="1">
      <alignment horizontal="left" wrapText="1"/>
    </xf>
    <xf numFmtId="0" fontId="36" fillId="11" borderId="10" xfId="0" applyFont="1" applyFill="1" applyBorder="1" applyAlignment="1">
      <alignment horizontal="center" wrapText="1"/>
    </xf>
    <xf numFmtId="0" fontId="12" fillId="11" borderId="18" xfId="0" applyFont="1" applyFill="1" applyBorder="1" applyAlignment="1">
      <alignment horizontal="center" wrapText="1"/>
    </xf>
    <xf numFmtId="0" fontId="27" fillId="12" borderId="45" xfId="0" applyFont="1" applyFill="1" applyBorder="1" applyAlignment="1">
      <alignment horizontal="left" wrapText="1"/>
    </xf>
    <xf numFmtId="0" fontId="27" fillId="12" borderId="17" xfId="0" applyFont="1" applyFill="1" applyBorder="1" applyAlignment="1">
      <alignment horizontal="left" wrapText="1"/>
    </xf>
    <xf numFmtId="0" fontId="28" fillId="0" borderId="38" xfId="0" applyFont="1" applyBorder="1" applyAlignment="1"/>
    <xf numFmtId="0" fontId="28" fillId="11" borderId="12" xfId="0" applyFont="1" applyFill="1" applyBorder="1" applyAlignment="1">
      <alignment horizontal="center" wrapText="1"/>
    </xf>
    <xf numFmtId="0" fontId="28" fillId="11" borderId="57" xfId="0" applyFont="1" applyFill="1" applyBorder="1" applyAlignment="1">
      <alignment horizontal="center" wrapText="1"/>
    </xf>
    <xf numFmtId="0" fontId="59" fillId="7" borderId="18" xfId="0" applyFont="1" applyFill="1" applyBorder="1" applyAlignment="1">
      <alignment horizontal="center" vertical="center" wrapText="1"/>
    </xf>
    <xf numFmtId="0" fontId="57" fillId="7" borderId="18" xfId="0" applyFont="1" applyFill="1" applyBorder="1" applyAlignment="1">
      <alignment horizontal="center"/>
    </xf>
    <xf numFmtId="0" fontId="57" fillId="7" borderId="26" xfId="0" applyFont="1" applyFill="1" applyBorder="1" applyAlignment="1">
      <alignment horizontal="center"/>
    </xf>
    <xf numFmtId="0" fontId="15" fillId="7" borderId="18" xfId="0" applyFont="1" applyFill="1" applyBorder="1" applyAlignment="1">
      <alignment horizontal="center" vertical="center" wrapText="1"/>
    </xf>
    <xf numFmtId="0" fontId="0" fillId="7" borderId="18" xfId="0" applyFill="1" applyBorder="1" applyAlignment="1">
      <alignment horizontal="center"/>
    </xf>
    <xf numFmtId="0" fontId="0" fillId="7" borderId="26" xfId="0" applyFill="1" applyBorder="1" applyAlignment="1">
      <alignment horizontal="center"/>
    </xf>
    <xf numFmtId="0" fontId="28" fillId="11" borderId="46" xfId="0" applyFont="1" applyFill="1" applyBorder="1" applyAlignment="1">
      <alignment horizontal="center" wrapText="1"/>
    </xf>
    <xf numFmtId="0" fontId="28" fillId="11" borderId="50" xfId="0" applyFont="1" applyFill="1" applyBorder="1" applyAlignment="1">
      <alignment horizontal="center" wrapText="1"/>
    </xf>
    <xf numFmtId="0" fontId="28" fillId="11" borderId="47" xfId="0" applyFont="1" applyFill="1" applyBorder="1" applyAlignment="1">
      <alignment horizontal="center" wrapText="1"/>
    </xf>
    <xf numFmtId="0" fontId="28" fillId="11" borderId="51" xfId="0" applyFont="1" applyFill="1" applyBorder="1" applyAlignment="1">
      <alignment horizontal="center" wrapText="1"/>
    </xf>
    <xf numFmtId="0" fontId="31" fillId="0" borderId="100" xfId="0" applyFont="1" applyBorder="1" applyAlignment="1">
      <alignment horizontal="center" vertical="center" wrapText="1"/>
    </xf>
    <xf numFmtId="0" fontId="0" fillId="0" borderId="41" xfId="0" applyBorder="1" applyAlignment="1">
      <alignment horizontal="center"/>
    </xf>
    <xf numFmtId="0" fontId="28" fillId="0" borderId="100" xfId="0" applyFont="1" applyBorder="1" applyAlignment="1">
      <alignment horizontal="center" vertical="center" wrapText="1"/>
    </xf>
    <xf numFmtId="0" fontId="28" fillId="0" borderId="38" xfId="0" applyFont="1" applyBorder="1" applyAlignment="1">
      <alignment horizontal="center"/>
    </xf>
    <xf numFmtId="0" fontId="0" fillId="0" borderId="42" xfId="0" applyBorder="1" applyAlignment="1">
      <alignment horizontal="center"/>
    </xf>
    <xf numFmtId="0" fontId="31" fillId="7" borderId="100" xfId="0" applyFont="1" applyFill="1" applyBorder="1" applyAlignment="1">
      <alignment horizontal="left" vertical="center" wrapText="1"/>
    </xf>
    <xf numFmtId="0" fontId="0" fillId="7" borderId="41" xfId="0" applyFont="1" applyFill="1" applyBorder="1" applyAlignment="1"/>
    <xf numFmtId="0" fontId="0" fillId="7" borderId="38" xfId="0" applyFont="1" applyFill="1" applyBorder="1" applyAlignment="1"/>
    <xf numFmtId="0" fontId="0" fillId="7" borderId="42" xfId="0" applyFont="1" applyFill="1" applyBorder="1" applyAlignment="1"/>
    <xf numFmtId="0" fontId="53" fillId="7" borderId="100" xfId="0" applyFont="1" applyFill="1" applyBorder="1" applyAlignment="1">
      <alignment horizontal="left" vertical="center" wrapText="1"/>
    </xf>
    <xf numFmtId="0" fontId="38" fillId="0" borderId="100" xfId="0" applyFont="1" applyBorder="1" applyAlignment="1">
      <alignment horizontal="left" vertical="center" wrapText="1"/>
    </xf>
    <xf numFmtId="0" fontId="21" fillId="0" borderId="100" xfId="0" applyFont="1" applyBorder="1" applyAlignment="1">
      <alignment horizontal="left" vertical="center" wrapText="1"/>
    </xf>
    <xf numFmtId="0" fontId="21" fillId="0" borderId="38" xfId="0" applyFont="1" applyBorder="1" applyAlignment="1"/>
    <xf numFmtId="0" fontId="29" fillId="6" borderId="47" xfId="0" applyFont="1" applyFill="1" applyBorder="1" applyAlignment="1">
      <alignment horizontal="center" wrapText="1"/>
    </xf>
    <xf numFmtId="0" fontId="29" fillId="6" borderId="51" xfId="0" applyFont="1" applyFill="1" applyBorder="1" applyAlignment="1">
      <alignment horizontal="center" wrapText="1"/>
    </xf>
    <xf numFmtId="0" fontId="51" fillId="0" borderId="0" xfId="0" applyFont="1" applyAlignment="1"/>
    <xf numFmtId="0" fontId="52" fillId="0" borderId="0" xfId="0" applyFont="1" applyAlignment="1"/>
    <xf numFmtId="0" fontId="0" fillId="2" borderId="2" xfId="0" applyFill="1" applyBorder="1" applyAlignment="1">
      <alignment horizontal="center"/>
    </xf>
    <xf numFmtId="0" fontId="0" fillId="2" borderId="3" xfId="0" applyFill="1" applyBorder="1" applyAlignment="1">
      <alignment horizontal="center"/>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53" fillId="7" borderId="100" xfId="0" applyFont="1" applyFill="1" applyBorder="1" applyAlignment="1">
      <alignment horizontal="center" vertical="center" wrapText="1"/>
    </xf>
    <xf numFmtId="0" fontId="0" fillId="7" borderId="41" xfId="0" applyFont="1" applyFill="1" applyBorder="1" applyAlignment="1">
      <alignment horizontal="center" vertical="center" wrapText="1"/>
    </xf>
    <xf numFmtId="0" fontId="53" fillId="7" borderId="38" xfId="0" applyFont="1" applyFill="1" applyBorder="1" applyAlignment="1">
      <alignment horizontal="center" vertical="center" wrapText="1"/>
    </xf>
    <xf numFmtId="0" fontId="0" fillId="7" borderId="42" xfId="0" applyFont="1" applyFill="1" applyBorder="1" applyAlignment="1">
      <alignment horizontal="center" vertical="center" wrapText="1"/>
    </xf>
    <xf numFmtId="0" fontId="13" fillId="3" borderId="35" xfId="0" applyFont="1" applyFill="1" applyBorder="1" applyAlignment="1">
      <alignment horizontal="center" wrapText="1"/>
    </xf>
    <xf numFmtId="0" fontId="13" fillId="3" borderId="13" xfId="0" applyFont="1" applyFill="1" applyBorder="1" applyAlignment="1">
      <alignment horizontal="center" wrapText="1"/>
    </xf>
    <xf numFmtId="0" fontId="13" fillId="3" borderId="36" xfId="0" applyFont="1" applyFill="1" applyBorder="1" applyAlignment="1">
      <alignment horizontal="center" wrapText="1"/>
    </xf>
    <xf numFmtId="0" fontId="0" fillId="7" borderId="41" xfId="0" applyFont="1" applyFill="1" applyBorder="1" applyAlignment="1">
      <alignment vertical="center" wrapText="1"/>
    </xf>
    <xf numFmtId="0" fontId="53" fillId="7" borderId="38" xfId="0" applyFont="1" applyFill="1" applyBorder="1" applyAlignment="1">
      <alignment horizontal="left" vertical="center" wrapText="1"/>
    </xf>
    <xf numFmtId="0" fontId="0" fillId="7" borderId="42" xfId="0" applyFont="1" applyFill="1" applyBorder="1" applyAlignment="1">
      <alignment vertical="center" wrapText="1"/>
    </xf>
    <xf numFmtId="0" fontId="59" fillId="0" borderId="100" xfId="0" applyFont="1" applyBorder="1" applyAlignment="1">
      <alignment horizontal="left" vertical="center" wrapText="1"/>
    </xf>
    <xf numFmtId="0" fontId="57" fillId="0" borderId="41" xfId="0" applyFont="1" applyBorder="1" applyAlignment="1">
      <alignment vertical="center" wrapText="1"/>
    </xf>
    <xf numFmtId="0" fontId="59" fillId="0" borderId="38" xfId="0" applyFont="1" applyBorder="1" applyAlignment="1">
      <alignment horizontal="left" vertical="center" wrapText="1"/>
    </xf>
    <xf numFmtId="0" fontId="57" fillId="0" borderId="42" xfId="0" applyFont="1" applyBorder="1" applyAlignment="1">
      <alignment vertical="center" wrapText="1"/>
    </xf>
    <xf numFmtId="0" fontId="27" fillId="6" borderId="45" xfId="0" applyFont="1" applyFill="1" applyBorder="1" applyAlignment="1">
      <alignment horizontal="left"/>
    </xf>
    <xf numFmtId="0" fontId="27" fillId="6" borderId="17" xfId="0" applyFont="1" applyFill="1" applyBorder="1" applyAlignment="1">
      <alignment horizontal="left"/>
    </xf>
    <xf numFmtId="0" fontId="28" fillId="6" borderId="46" xfId="0" applyFont="1" applyFill="1" applyBorder="1" applyAlignment="1">
      <alignment horizontal="left" wrapText="1"/>
    </xf>
    <xf numFmtId="0" fontId="28" fillId="6" borderId="50" xfId="0" applyFont="1" applyFill="1" applyBorder="1" applyAlignment="1">
      <alignment horizontal="left" wrapText="1"/>
    </xf>
    <xf numFmtId="0" fontId="0" fillId="0" borderId="78" xfId="0"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16" fillId="0" borderId="102" xfId="0" applyFont="1" applyBorder="1" applyAlignment="1">
      <alignment horizontal="left" vertical="center" wrapText="1"/>
    </xf>
    <xf numFmtId="0" fontId="0" fillId="0" borderId="93" xfId="0" applyBorder="1" applyAlignment="1">
      <alignment vertical="center" wrapText="1"/>
    </xf>
    <xf numFmtId="0" fontId="16" fillId="0" borderId="100" xfId="0" applyFont="1" applyBorder="1" applyAlignment="1">
      <alignment horizontal="left" vertical="center" wrapText="1"/>
    </xf>
    <xf numFmtId="0" fontId="16" fillId="0" borderId="38" xfId="0" applyFont="1" applyBorder="1" applyAlignment="1">
      <alignment horizontal="left" vertical="center" wrapText="1"/>
    </xf>
    <xf numFmtId="0" fontId="0" fillId="0" borderId="38" xfId="0" applyBorder="1" applyAlignment="1"/>
    <xf numFmtId="0" fontId="31" fillId="0" borderId="100" xfId="0" applyFont="1" applyBorder="1" applyAlignment="1">
      <alignment vertical="center" wrapText="1"/>
    </xf>
    <xf numFmtId="0" fontId="0" fillId="0" borderId="100" xfId="0" applyBorder="1" applyAlignment="1">
      <alignment vertical="center" wrapText="1"/>
    </xf>
    <xf numFmtId="0" fontId="0" fillId="0" borderId="38" xfId="0" applyBorder="1" applyAlignment="1">
      <alignment vertical="center" wrapText="1"/>
    </xf>
    <xf numFmtId="0" fontId="28" fillId="0" borderId="18"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78" xfId="0" applyFont="1" applyBorder="1" applyAlignment="1">
      <alignment horizontal="center" vertical="center" wrapText="1"/>
    </xf>
    <xf numFmtId="0" fontId="0" fillId="0" borderId="41" xfId="0" applyBorder="1"/>
    <xf numFmtId="0" fontId="0" fillId="0" borderId="100" xfId="0" applyBorder="1"/>
    <xf numFmtId="0" fontId="0" fillId="0" borderId="38" xfId="0" applyBorder="1"/>
    <xf numFmtId="0" fontId="0" fillId="0" borderId="42" xfId="0" applyBorder="1"/>
    <xf numFmtId="0" fontId="27" fillId="12" borderId="113" xfId="0" applyFont="1" applyFill="1" applyBorder="1" applyAlignment="1">
      <alignment horizontal="left" wrapText="1"/>
    </xf>
    <xf numFmtId="0" fontId="0" fillId="0" borderId="93" xfId="0" applyBorder="1"/>
    <xf numFmtId="0" fontId="0" fillId="0" borderId="101" xfId="0" applyBorder="1"/>
    <xf numFmtId="0" fontId="0" fillId="0" borderId="104" xfId="0" applyBorder="1"/>
    <xf numFmtId="0" fontId="36" fillId="11" borderId="18" xfId="0" applyFont="1" applyFill="1" applyBorder="1" applyAlignment="1">
      <alignment horizontal="center" wrapText="1"/>
    </xf>
    <xf numFmtId="0" fontId="28" fillId="7" borderId="18"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 xfId="0" applyFont="1" applyBorder="1" applyAlignment="1">
      <alignment horizontal="center" vertical="center" wrapText="1"/>
    </xf>
    <xf numFmtId="0" fontId="53" fillId="0" borderId="100" xfId="0" applyFont="1" applyFill="1" applyBorder="1" applyAlignment="1">
      <alignment horizontal="left" vertical="center" wrapText="1"/>
    </xf>
    <xf numFmtId="0" fontId="0" fillId="0" borderId="41" xfId="0" applyFill="1" applyBorder="1" applyAlignment="1"/>
    <xf numFmtId="0" fontId="21" fillId="0" borderId="100" xfId="0" applyFont="1" applyFill="1" applyBorder="1" applyAlignment="1">
      <alignment horizontal="left" vertical="center" wrapText="1"/>
    </xf>
    <xf numFmtId="0" fontId="21" fillId="0" borderId="38" xfId="0" applyFont="1" applyFill="1" applyBorder="1" applyAlignment="1"/>
    <xf numFmtId="0" fontId="0" fillId="0" borderId="42" xfId="0" applyFill="1" applyBorder="1" applyAlignment="1"/>
    <xf numFmtId="0" fontId="0" fillId="2" borderId="115" xfId="0" applyFill="1" applyBorder="1" applyAlignment="1">
      <alignment horizontal="center"/>
    </xf>
    <xf numFmtId="0" fontId="0" fillId="2" borderId="116" xfId="0" applyFill="1" applyBorder="1" applyAlignment="1">
      <alignment horizontal="center"/>
    </xf>
    <xf numFmtId="0" fontId="14" fillId="3" borderId="117" xfId="0" applyFont="1" applyFill="1" applyBorder="1" applyAlignment="1">
      <alignment horizontal="center" wrapText="1"/>
    </xf>
    <xf numFmtId="0" fontId="53" fillId="0" borderId="100" xfId="0" applyFont="1" applyBorder="1" applyAlignment="1">
      <alignment horizontal="left" vertical="center" wrapText="1"/>
    </xf>
    <xf numFmtId="0" fontId="2" fillId="0" borderId="41" xfId="0" applyFont="1" applyBorder="1" applyAlignment="1">
      <alignment vertical="center" wrapText="1"/>
    </xf>
    <xf numFmtId="0" fontId="74" fillId="0" borderId="100" xfId="0" applyFont="1" applyBorder="1" applyAlignment="1">
      <alignment horizontal="left" vertical="center" wrapText="1"/>
    </xf>
    <xf numFmtId="0" fontId="74" fillId="0" borderId="38" xfId="0" applyFont="1" applyBorder="1" applyAlignment="1">
      <alignment horizontal="left" vertical="center" wrapText="1"/>
    </xf>
    <xf numFmtId="0" fontId="2" fillId="0" borderId="42" xfId="0" applyFont="1" applyBorder="1" applyAlignment="1">
      <alignment vertical="center" wrapText="1"/>
    </xf>
    <xf numFmtId="0" fontId="18" fillId="7" borderId="102" xfId="0" applyFont="1" applyFill="1" applyBorder="1" applyAlignment="1">
      <alignment horizontal="left" vertical="center" wrapText="1"/>
    </xf>
    <xf numFmtId="0" fontId="0" fillId="7" borderId="93" xfId="0" applyFill="1" applyBorder="1" applyAlignment="1">
      <alignment vertical="center" wrapText="1"/>
    </xf>
    <xf numFmtId="0" fontId="16" fillId="7" borderId="100" xfId="0" applyFont="1" applyFill="1" applyBorder="1" applyAlignment="1">
      <alignment horizontal="left" vertical="center" wrapText="1"/>
    </xf>
    <xf numFmtId="0" fontId="0" fillId="7" borderId="41" xfId="0" applyFill="1" applyBorder="1" applyAlignment="1">
      <alignment vertical="center" wrapText="1"/>
    </xf>
    <xf numFmtId="0" fontId="16" fillId="7" borderId="38" xfId="0" applyFont="1" applyFill="1" applyBorder="1" applyAlignment="1">
      <alignment horizontal="left" vertical="center" wrapText="1"/>
    </xf>
    <xf numFmtId="0" fontId="0" fillId="7" borderId="42" xfId="0" applyFill="1" applyBorder="1" applyAlignment="1">
      <alignment vertical="center" wrapText="1"/>
    </xf>
    <xf numFmtId="0" fontId="28" fillId="7" borderId="100" xfId="0" applyFont="1" applyFill="1" applyBorder="1" applyAlignment="1">
      <alignment horizontal="left" vertical="center" wrapText="1"/>
    </xf>
    <xf numFmtId="0" fontId="0" fillId="7" borderId="41" xfId="0" applyFill="1" applyBorder="1" applyAlignment="1"/>
    <xf numFmtId="0" fontId="28" fillId="7" borderId="38" xfId="0" applyFont="1" applyFill="1" applyBorder="1" applyAlignment="1">
      <alignment horizontal="left"/>
    </xf>
    <xf numFmtId="0" fontId="0" fillId="7" borderId="42" xfId="0" applyFill="1" applyBorder="1" applyAlignment="1"/>
    <xf numFmtId="0" fontId="0" fillId="7" borderId="38" xfId="0" applyFill="1" applyBorder="1" applyAlignment="1"/>
    <xf numFmtId="0" fontId="18" fillId="7" borderId="100" xfId="0" applyFont="1" applyFill="1" applyBorder="1" applyAlignment="1">
      <alignment horizontal="left" vertical="center" wrapText="1"/>
    </xf>
    <xf numFmtId="0" fontId="15" fillId="7" borderId="100" xfId="0" applyFont="1" applyFill="1" applyBorder="1" applyAlignment="1">
      <alignment horizontal="left" vertical="center" wrapText="1"/>
    </xf>
    <xf numFmtId="0" fontId="1" fillId="0" borderId="93" xfId="0" applyFont="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80" fillId="0" borderId="93" xfId="0" applyFont="1" applyBorder="1" applyAlignment="1">
      <alignment horizontal="left" vertical="top" wrapText="1"/>
    </xf>
    <xf numFmtId="0" fontId="83" fillId="0" borderId="41" xfId="0" applyFont="1" applyBorder="1" applyAlignment="1">
      <alignment horizontal="left" vertical="top" wrapText="1"/>
    </xf>
    <xf numFmtId="0" fontId="83" fillId="0" borderId="42" xfId="0" applyFont="1" applyBorder="1" applyAlignment="1">
      <alignment horizontal="left" vertical="top" wrapText="1"/>
    </xf>
    <xf numFmtId="0" fontId="12" fillId="13" borderId="119" xfId="0" applyFont="1" applyFill="1" applyBorder="1" applyAlignment="1">
      <alignment horizontal="center" wrapText="1"/>
    </xf>
    <xf numFmtId="0" fontId="15" fillId="13" borderId="117" xfId="0" applyFont="1" applyFill="1" applyBorder="1" applyAlignment="1">
      <alignment horizontal="center" wrapText="1"/>
    </xf>
    <xf numFmtId="0" fontId="27" fillId="13" borderId="122" xfId="0" applyFont="1" applyFill="1" applyBorder="1" applyAlignment="1">
      <alignment horizontal="left" wrapText="1"/>
    </xf>
    <xf numFmtId="0" fontId="28" fillId="13" borderId="123" xfId="0" applyFont="1" applyFill="1" applyBorder="1" applyAlignment="1">
      <alignment horizontal="center" wrapText="1"/>
    </xf>
    <xf numFmtId="0" fontId="28" fillId="13" borderId="117" xfId="0" applyFont="1" applyFill="1" applyBorder="1" applyAlignment="1">
      <alignment horizontal="center" wrapText="1"/>
    </xf>
    <xf numFmtId="0" fontId="28" fillId="13" borderId="120" xfId="0" applyFont="1" applyFill="1" applyBorder="1" applyAlignment="1">
      <alignment horizontal="center" wrapText="1"/>
    </xf>
    <xf numFmtId="0" fontId="28" fillId="12" borderId="123" xfId="0" applyFont="1" applyFill="1" applyBorder="1" applyAlignment="1">
      <alignment horizontal="center" wrapText="1"/>
    </xf>
    <xf numFmtId="0" fontId="28" fillId="12" borderId="124" xfId="0" applyFont="1" applyFill="1" applyBorder="1" applyAlignment="1">
      <alignment horizontal="center" wrapText="1"/>
    </xf>
    <xf numFmtId="0" fontId="28" fillId="12" borderId="125" xfId="0" applyFont="1" applyFill="1" applyBorder="1" applyAlignment="1">
      <alignment horizontal="center" wrapText="1"/>
    </xf>
    <xf numFmtId="0" fontId="28" fillId="12" borderId="127" xfId="0" applyFont="1" applyFill="1" applyBorder="1" applyAlignment="1">
      <alignment horizontal="center" wrapText="1"/>
    </xf>
    <xf numFmtId="0" fontId="27" fillId="12" borderId="118" xfId="0" applyFont="1" applyFill="1" applyBorder="1" applyAlignment="1">
      <alignment horizontal="left" wrapText="1"/>
    </xf>
    <xf numFmtId="0" fontId="36" fillId="12" borderId="119" xfId="0" applyFont="1" applyFill="1" applyBorder="1" applyAlignment="1">
      <alignment horizontal="center" wrapText="1"/>
    </xf>
    <xf numFmtId="0" fontId="28" fillId="12" borderId="128" xfId="0" applyFont="1" applyFill="1" applyBorder="1" applyAlignment="1">
      <alignment horizontal="center" wrapText="1"/>
    </xf>
    <xf numFmtId="0" fontId="27" fillId="12" borderId="122" xfId="0" applyFont="1" applyFill="1" applyBorder="1" applyAlignment="1">
      <alignment horizontal="left" wrapText="1"/>
    </xf>
    <xf numFmtId="0" fontId="27" fillId="11" borderId="122" xfId="0" applyFont="1" applyFill="1" applyBorder="1" applyAlignment="1">
      <alignment horizontal="left" wrapText="1"/>
    </xf>
    <xf numFmtId="0" fontId="36" fillId="11" borderId="119" xfId="0" applyFont="1" applyFill="1" applyBorder="1" applyAlignment="1">
      <alignment horizontal="center" wrapText="1"/>
    </xf>
    <xf numFmtId="0" fontId="18" fillId="0" borderId="100" xfId="0" applyFont="1" applyBorder="1" applyAlignment="1">
      <alignment horizontal="center" vertical="center" wrapText="1"/>
    </xf>
    <xf numFmtId="0" fontId="18" fillId="0" borderId="38" xfId="0" applyFont="1" applyBorder="1" applyAlignment="1">
      <alignment horizontal="center" vertical="center" wrapText="1"/>
    </xf>
    <xf numFmtId="0" fontId="1" fillId="0" borderId="41"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28" fillId="11" borderId="123" xfId="0" applyFont="1" applyFill="1" applyBorder="1" applyAlignment="1">
      <alignment horizontal="center" wrapText="1"/>
    </xf>
    <xf numFmtId="0" fontId="31" fillId="0" borderId="38" xfId="0" applyFont="1" applyBorder="1" applyAlignment="1">
      <alignment horizontal="center" vertical="center" wrapText="1"/>
    </xf>
    <xf numFmtId="0" fontId="1" fillId="0" borderId="41" xfId="0" applyFont="1"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 fillId="0" borderId="41" xfId="0" applyFont="1" applyBorder="1" applyAlignment="1">
      <alignment horizontal="center" vertical="center" wrapText="1"/>
    </xf>
    <xf numFmtId="0" fontId="1" fillId="0" borderId="100" xfId="0" applyFont="1" applyBorder="1" applyAlignment="1">
      <alignment horizontal="left" vertical="top" wrapText="1"/>
    </xf>
    <xf numFmtId="0" fontId="0" fillId="0" borderId="100" xfId="0" applyBorder="1" applyAlignment="1">
      <alignment horizontal="left" vertical="top" wrapText="1"/>
    </xf>
    <xf numFmtId="0" fontId="0" fillId="0" borderId="38" xfId="0" applyBorder="1" applyAlignment="1">
      <alignment horizontal="left" vertical="top" wrapText="1"/>
    </xf>
    <xf numFmtId="0" fontId="1" fillId="0" borderId="100" xfId="0" applyFont="1" applyBorder="1" applyAlignment="1">
      <alignment horizontal="center" vertical="top" wrapText="1"/>
    </xf>
    <xf numFmtId="0" fontId="1" fillId="0" borderId="41" xfId="0" applyFont="1" applyBorder="1" applyAlignment="1">
      <alignment horizontal="center" vertical="top" wrapText="1"/>
    </xf>
    <xf numFmtId="0" fontId="1" fillId="0" borderId="38" xfId="0" applyFont="1" applyBorder="1" applyAlignment="1">
      <alignment horizontal="center" vertical="top" wrapText="1"/>
    </xf>
    <xf numFmtId="0" fontId="1" fillId="0" borderId="42" xfId="0" applyFont="1" applyBorder="1" applyAlignment="1">
      <alignment horizontal="center" vertical="top" wrapText="1"/>
    </xf>
    <xf numFmtId="0" fontId="13" fillId="3" borderId="117" xfId="0" applyFont="1" applyFill="1" applyBorder="1" applyAlignment="1">
      <alignment horizontal="center" wrapText="1"/>
    </xf>
    <xf numFmtId="0" fontId="13" fillId="3" borderId="120" xfId="0" applyFont="1" applyFill="1" applyBorder="1" applyAlignment="1">
      <alignment horizontal="center" wrapText="1"/>
    </xf>
    <xf numFmtId="0" fontId="27" fillId="6" borderId="122" xfId="0" applyFont="1" applyFill="1" applyBorder="1" applyAlignment="1">
      <alignment horizontal="left"/>
    </xf>
    <xf numFmtId="0" fontId="28" fillId="6" borderId="123" xfId="0" applyFont="1" applyFill="1" applyBorder="1" applyAlignment="1">
      <alignment horizontal="left" wrapText="1"/>
    </xf>
    <xf numFmtId="0" fontId="1" fillId="0" borderId="93"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28" fillId="0" borderId="78" xfId="0" applyFont="1" applyBorder="1" applyAlignment="1">
      <alignment horizontal="left" vertical="top" wrapText="1"/>
    </xf>
    <xf numFmtId="0" fontId="28" fillId="0" borderId="18" xfId="0" applyFont="1" applyBorder="1" applyAlignment="1">
      <alignment horizontal="left" vertical="top" wrapText="1"/>
    </xf>
    <xf numFmtId="0" fontId="28" fillId="0" borderId="26" xfId="0" applyFont="1" applyBorder="1" applyAlignment="1">
      <alignment horizontal="left" vertical="top" wrapText="1"/>
    </xf>
    <xf numFmtId="0" fontId="28" fillId="0" borderId="103" xfId="0" applyFont="1" applyBorder="1" applyAlignment="1">
      <alignment horizontal="left" vertical="center" wrapText="1"/>
    </xf>
    <xf numFmtId="0" fontId="28" fillId="0" borderId="101" xfId="0" applyFont="1" applyBorder="1" applyAlignment="1">
      <alignment horizontal="left" vertical="center" wrapText="1"/>
    </xf>
    <xf numFmtId="0" fontId="28" fillId="0" borderId="104" xfId="0" applyFont="1" applyBorder="1" applyAlignment="1">
      <alignment horizontal="left" vertical="center" wrapText="1"/>
    </xf>
    <xf numFmtId="0" fontId="18" fillId="0" borderId="100" xfId="0" applyFont="1" applyFill="1" applyBorder="1" applyAlignment="1">
      <alignment horizontal="left" vertical="center" wrapText="1"/>
    </xf>
    <xf numFmtId="0" fontId="0" fillId="0" borderId="41" xfId="0" applyFill="1" applyBorder="1" applyAlignment="1">
      <alignment vertical="center" wrapText="1"/>
    </xf>
    <xf numFmtId="0" fontId="15" fillId="0" borderId="100"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0" fillId="0" borderId="42" xfId="0" applyFill="1" applyBorder="1" applyAlignment="1">
      <alignment vertical="center" wrapText="1"/>
    </xf>
    <xf numFmtId="0" fontId="31" fillId="0" borderId="100" xfId="0" applyFont="1" applyFill="1" applyBorder="1" applyAlignment="1">
      <alignment horizontal="left" vertical="center" wrapText="1"/>
    </xf>
    <xf numFmtId="0" fontId="28" fillId="0" borderId="100" xfId="0" applyFont="1" applyFill="1" applyBorder="1" applyAlignment="1">
      <alignment horizontal="left" vertical="center" wrapText="1"/>
    </xf>
    <xf numFmtId="0" fontId="28" fillId="0" borderId="38" xfId="0" applyFont="1" applyFill="1" applyBorder="1" applyAlignment="1"/>
    <xf numFmtId="0" fontId="65" fillId="0" borderId="41" xfId="0" applyFont="1" applyBorder="1" applyAlignment="1"/>
    <xf numFmtId="0" fontId="65" fillId="0" borderId="42" xfId="0" applyFont="1" applyBorder="1" applyAlignment="1"/>
    <xf numFmtId="0" fontId="87" fillId="0" borderId="102" xfId="0" applyFont="1" applyBorder="1" applyAlignment="1">
      <alignment horizontal="left" vertical="center" wrapText="1"/>
    </xf>
    <xf numFmtId="0" fontId="88" fillId="0" borderId="93" xfId="0" applyFont="1" applyBorder="1" applyAlignment="1">
      <alignment vertical="center" wrapText="1"/>
    </xf>
    <xf numFmtId="0" fontId="87" fillId="0" borderId="100" xfId="0" applyFont="1" applyBorder="1" applyAlignment="1">
      <alignment horizontal="left" vertical="center" wrapText="1"/>
    </xf>
    <xf numFmtId="0" fontId="88" fillId="0" borderId="41" xfId="0" applyFont="1" applyBorder="1" applyAlignment="1">
      <alignment vertical="center" wrapText="1"/>
    </xf>
    <xf numFmtId="0" fontId="87" fillId="0" borderId="38" xfId="0" applyFont="1" applyBorder="1" applyAlignment="1">
      <alignment horizontal="left" vertical="center" wrapText="1"/>
    </xf>
    <xf numFmtId="0" fontId="88" fillId="0" borderId="42" xfId="0" applyFont="1" applyBorder="1" applyAlignment="1">
      <alignment vertical="center" wrapText="1"/>
    </xf>
    <xf numFmtId="0" fontId="90" fillId="0" borderId="100" xfId="0" applyFont="1" applyBorder="1" applyAlignment="1">
      <alignment horizontal="left" vertical="center" wrapText="1"/>
    </xf>
    <xf numFmtId="0" fontId="90" fillId="0" borderId="38" xfId="0" applyFont="1" applyBorder="1" applyAlignment="1">
      <alignment horizontal="left" vertical="center" wrapText="1"/>
    </xf>
    <xf numFmtId="0" fontId="88" fillId="0" borderId="78"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26" xfId="0" applyFont="1" applyBorder="1" applyAlignment="1">
      <alignment horizontal="center" vertical="center" wrapText="1"/>
    </xf>
    <xf numFmtId="0" fontId="94" fillId="13" borderId="122" xfId="0" applyFont="1" applyFill="1" applyBorder="1" applyAlignment="1">
      <alignment horizontal="left"/>
    </xf>
    <xf numFmtId="0" fontId="94" fillId="13" borderId="17" xfId="0" applyFont="1" applyFill="1" applyBorder="1" applyAlignment="1">
      <alignment horizontal="left"/>
    </xf>
    <xf numFmtId="0" fontId="87" fillId="13" borderId="119" xfId="0" applyFont="1" applyFill="1" applyBorder="1" applyAlignment="1">
      <alignment horizontal="center" wrapText="1"/>
    </xf>
    <xf numFmtId="0" fontId="87" fillId="13" borderId="49" xfId="0" applyFont="1" applyFill="1" applyBorder="1" applyAlignment="1">
      <alignment horizontal="center" wrapText="1"/>
    </xf>
    <xf numFmtId="0" fontId="87" fillId="13" borderId="14" xfId="0" applyFont="1" applyFill="1" applyBorder="1" applyAlignment="1">
      <alignment horizontal="left" wrapText="1"/>
    </xf>
    <xf numFmtId="0" fontId="87" fillId="13" borderId="23" xfId="0" applyFont="1" applyFill="1" applyBorder="1" applyAlignment="1">
      <alignment horizontal="left" wrapText="1"/>
    </xf>
    <xf numFmtId="0" fontId="88" fillId="0" borderId="100" xfId="0" applyFont="1" applyBorder="1" applyAlignment="1">
      <alignment horizontal="left" vertical="center" wrapText="1"/>
    </xf>
    <xf numFmtId="0" fontId="88" fillId="0" borderId="41" xfId="0" applyFont="1" applyBorder="1" applyAlignment="1"/>
    <xf numFmtId="0" fontId="88" fillId="0" borderId="38" xfId="0" applyFont="1" applyBorder="1" applyAlignment="1">
      <alignment horizontal="left"/>
    </xf>
    <xf numFmtId="0" fontId="88" fillId="0" borderId="42" xfId="0" applyFont="1" applyBorder="1" applyAlignment="1"/>
    <xf numFmtId="0" fontId="90" fillId="13" borderId="15" xfId="0" applyFont="1" applyFill="1" applyBorder="1" applyAlignment="1">
      <alignment horizontal="center" wrapText="1"/>
    </xf>
    <xf numFmtId="0" fontId="90" fillId="13" borderId="21" xfId="0" applyFont="1" applyFill="1" applyBorder="1" applyAlignment="1">
      <alignment horizontal="center" wrapText="1"/>
    </xf>
    <xf numFmtId="0" fontId="90" fillId="13" borderId="34" xfId="0" applyFont="1" applyFill="1" applyBorder="1" applyAlignment="1">
      <alignment horizontal="center" wrapText="1"/>
    </xf>
    <xf numFmtId="0" fontId="90" fillId="13" borderId="117" xfId="0" applyFont="1" applyFill="1" applyBorder="1" applyAlignment="1">
      <alignment horizontal="center" wrapText="1"/>
    </xf>
    <xf numFmtId="0" fontId="90" fillId="13" borderId="57" xfId="0" applyFont="1" applyFill="1" applyBorder="1" applyAlignment="1">
      <alignment horizontal="center" wrapText="1"/>
    </xf>
    <xf numFmtId="0" fontId="90" fillId="13" borderId="39" xfId="0" applyFont="1" applyFill="1" applyBorder="1" applyAlignment="1">
      <alignment horizontal="center" wrapText="1"/>
    </xf>
    <xf numFmtId="0" fontId="90" fillId="13" borderId="16" xfId="0" applyFont="1" applyFill="1" applyBorder="1" applyAlignment="1">
      <alignment horizontal="center" wrapText="1"/>
    </xf>
    <xf numFmtId="0" fontId="88" fillId="12" borderId="128" xfId="0" applyFont="1" applyFill="1" applyBorder="1" applyAlignment="1">
      <alignment horizontal="center" wrapText="1"/>
    </xf>
    <xf numFmtId="0" fontId="88" fillId="12" borderId="73" xfId="0" applyFont="1" applyFill="1" applyBorder="1" applyAlignment="1">
      <alignment horizontal="center" wrapText="1"/>
    </xf>
    <xf numFmtId="0" fontId="88" fillId="13" borderId="123" xfId="0" applyFont="1" applyFill="1" applyBorder="1" applyAlignment="1">
      <alignment horizontal="center" wrapText="1"/>
    </xf>
    <xf numFmtId="0" fontId="88" fillId="13" borderId="50" xfId="0" applyFont="1" applyFill="1" applyBorder="1" applyAlignment="1">
      <alignment horizontal="center" wrapText="1"/>
    </xf>
    <xf numFmtId="0" fontId="88" fillId="13" borderId="48" xfId="0" applyFont="1" applyFill="1" applyBorder="1" applyAlignment="1">
      <alignment horizontal="center" wrapText="1"/>
    </xf>
    <xf numFmtId="0" fontId="88" fillId="13" borderId="117" xfId="0" applyFont="1" applyFill="1" applyBorder="1" applyAlignment="1">
      <alignment horizontal="center" wrapText="1"/>
    </xf>
    <xf numFmtId="0" fontId="88" fillId="13" borderId="120" xfId="0" applyFont="1" applyFill="1" applyBorder="1" applyAlignment="1">
      <alignment horizontal="center" wrapText="1"/>
    </xf>
    <xf numFmtId="0" fontId="88" fillId="0" borderId="103" xfId="0" applyFont="1" applyBorder="1" applyAlignment="1">
      <alignment horizontal="left" wrapText="1"/>
    </xf>
    <xf numFmtId="0" fontId="88" fillId="0" borderId="93" xfId="0" applyFont="1" applyBorder="1" applyAlignment="1">
      <alignment wrapText="1"/>
    </xf>
    <xf numFmtId="0" fontId="88" fillId="0" borderId="101" xfId="0" applyFont="1" applyBorder="1" applyAlignment="1">
      <alignment horizontal="left" wrapText="1"/>
    </xf>
    <xf numFmtId="0" fontId="88" fillId="0" borderId="41" xfId="0" applyFont="1" applyBorder="1" applyAlignment="1">
      <alignment wrapText="1"/>
    </xf>
    <xf numFmtId="0" fontId="88" fillId="0" borderId="104" xfId="0" applyFont="1" applyBorder="1" applyAlignment="1">
      <alignment horizontal="left" wrapText="1"/>
    </xf>
    <xf numFmtId="0" fontId="88" fillId="0" borderId="42" xfId="0" applyFont="1" applyBorder="1" applyAlignment="1">
      <alignment wrapText="1"/>
    </xf>
    <xf numFmtId="0" fontId="94" fillId="12" borderId="118" xfId="0" applyFont="1" applyFill="1" applyBorder="1" applyAlignment="1">
      <alignment horizontal="left" wrapText="1"/>
    </xf>
    <xf numFmtId="0" fontId="94" fillId="12" borderId="100" xfId="0" applyFont="1" applyFill="1" applyBorder="1" applyAlignment="1">
      <alignment horizontal="left" wrapText="1"/>
    </xf>
    <xf numFmtId="0" fontId="87" fillId="12" borderId="119" xfId="0" applyFont="1" applyFill="1" applyBorder="1" applyAlignment="1">
      <alignment horizontal="center" wrapText="1"/>
    </xf>
    <xf numFmtId="0" fontId="87" fillId="12" borderId="18" xfId="0" applyFont="1" applyFill="1" applyBorder="1" applyAlignment="1">
      <alignment horizontal="center" wrapText="1"/>
    </xf>
    <xf numFmtId="0" fontId="88" fillId="12" borderId="123" xfId="0" applyFont="1" applyFill="1" applyBorder="1" applyAlignment="1">
      <alignment horizontal="center" wrapText="1"/>
    </xf>
    <xf numFmtId="0" fontId="88" fillId="12" borderId="50" xfId="0" applyFont="1" applyFill="1" applyBorder="1" applyAlignment="1">
      <alignment horizontal="center" wrapText="1"/>
    </xf>
    <xf numFmtId="0" fontId="88" fillId="12" borderId="124" xfId="0" applyFont="1" applyFill="1" applyBorder="1" applyAlignment="1">
      <alignment horizontal="center" wrapText="1"/>
    </xf>
    <xf numFmtId="0" fontId="88" fillId="12" borderId="125" xfId="0" applyFont="1" applyFill="1" applyBorder="1" applyAlignment="1">
      <alignment horizontal="center" wrapText="1"/>
    </xf>
    <xf numFmtId="0" fontId="88" fillId="12" borderId="127" xfId="0" applyFont="1" applyFill="1" applyBorder="1" applyAlignment="1">
      <alignment horizontal="center" wrapText="1"/>
    </xf>
    <xf numFmtId="0" fontId="88" fillId="0" borderId="38" xfId="0" applyFont="1" applyBorder="1" applyAlignment="1"/>
    <xf numFmtId="0" fontId="94" fillId="11" borderId="122" xfId="0" applyFont="1" applyFill="1" applyBorder="1" applyAlignment="1">
      <alignment horizontal="left" wrapText="1"/>
    </xf>
    <xf numFmtId="0" fontId="94" fillId="11" borderId="17" xfId="0" applyFont="1" applyFill="1" applyBorder="1" applyAlignment="1">
      <alignment horizontal="left" wrapText="1"/>
    </xf>
    <xf numFmtId="0" fontId="87" fillId="11" borderId="119" xfId="0" applyFont="1" applyFill="1" applyBorder="1" applyAlignment="1">
      <alignment horizontal="center" wrapText="1"/>
    </xf>
    <xf numFmtId="0" fontId="87" fillId="11" borderId="18" xfId="0" applyFont="1" applyFill="1" applyBorder="1" applyAlignment="1">
      <alignment horizontal="center" wrapText="1"/>
    </xf>
    <xf numFmtId="0" fontId="88" fillId="11" borderId="123" xfId="0" applyFont="1" applyFill="1" applyBorder="1" applyAlignment="1">
      <alignment horizontal="center" wrapText="1"/>
    </xf>
    <xf numFmtId="0" fontId="88" fillId="11" borderId="50" xfId="0" applyFont="1" applyFill="1" applyBorder="1" applyAlignment="1">
      <alignment horizontal="center" wrapText="1"/>
    </xf>
    <xf numFmtId="0" fontId="88" fillId="11" borderId="47" xfId="0" applyFont="1" applyFill="1" applyBorder="1" applyAlignment="1">
      <alignment horizontal="center" wrapText="1"/>
    </xf>
    <xf numFmtId="0" fontId="88" fillId="11" borderId="51" xfId="0" applyFont="1" applyFill="1" applyBorder="1" applyAlignment="1">
      <alignment horizontal="center" wrapText="1"/>
    </xf>
    <xf numFmtId="0" fontId="94" fillId="12" borderId="122" xfId="0" applyFont="1" applyFill="1" applyBorder="1" applyAlignment="1">
      <alignment horizontal="left" wrapText="1"/>
    </xf>
    <xf numFmtId="0" fontId="94" fillId="12" borderId="17" xfId="0" applyFont="1" applyFill="1" applyBorder="1" applyAlignment="1">
      <alignment horizontal="left" wrapText="1"/>
    </xf>
    <xf numFmtId="0" fontId="88" fillId="11" borderId="12" xfId="0" applyFont="1" applyFill="1" applyBorder="1" applyAlignment="1">
      <alignment horizontal="center" wrapText="1"/>
    </xf>
    <xf numFmtId="0" fontId="88" fillId="11" borderId="57" xfId="0" applyFont="1" applyFill="1" applyBorder="1" applyAlignment="1">
      <alignment horizontal="center" wrapText="1"/>
    </xf>
    <xf numFmtId="0" fontId="97" fillId="0" borderId="100" xfId="0" applyFont="1" applyBorder="1" applyAlignment="1">
      <alignment horizontal="left" vertical="center" wrapText="1"/>
    </xf>
    <xf numFmtId="0" fontId="93" fillId="0" borderId="100" xfId="0" applyFont="1" applyBorder="1" applyAlignment="1">
      <alignment horizontal="left" vertical="center" wrapText="1"/>
    </xf>
    <xf numFmtId="0" fontId="93" fillId="0" borderId="38" xfId="0" applyFont="1" applyBorder="1" applyAlignment="1"/>
    <xf numFmtId="0" fontId="94" fillId="6" borderId="47" xfId="0" applyFont="1" applyFill="1" applyBorder="1" applyAlignment="1">
      <alignment horizontal="center" wrapText="1"/>
    </xf>
    <xf numFmtId="0" fontId="94" fillId="6" borderId="51" xfId="0" applyFont="1" applyFill="1" applyBorder="1" applyAlignment="1">
      <alignment horizontal="center" wrapText="1"/>
    </xf>
    <xf numFmtId="0" fontId="87" fillId="0" borderId="0" xfId="0" applyFont="1" applyAlignment="1"/>
    <xf numFmtId="0" fontId="88" fillId="0" borderId="0" xfId="0" applyFont="1" applyAlignment="1"/>
    <xf numFmtId="0" fontId="88" fillId="2" borderId="115" xfId="0" applyFont="1" applyFill="1" applyBorder="1" applyAlignment="1">
      <alignment horizontal="center"/>
    </xf>
    <xf numFmtId="0" fontId="88" fillId="2" borderId="116" xfId="0" applyFont="1" applyFill="1" applyBorder="1" applyAlignment="1">
      <alignment horizontal="center"/>
    </xf>
    <xf numFmtId="0" fontId="90" fillId="2" borderId="4" xfId="0" applyFont="1" applyFill="1" applyBorder="1" applyAlignment="1">
      <alignment horizontal="left" vertical="top" wrapText="1"/>
    </xf>
    <xf numFmtId="0" fontId="90" fillId="2" borderId="0" xfId="0" applyFont="1" applyFill="1" applyBorder="1" applyAlignment="1">
      <alignment horizontal="left" vertical="top" wrapText="1"/>
    </xf>
    <xf numFmtId="0" fontId="90" fillId="2" borderId="5" xfId="0" applyFont="1" applyFill="1" applyBorder="1" applyAlignment="1">
      <alignment horizontal="left" vertical="top" wrapText="1"/>
    </xf>
    <xf numFmtId="0" fontId="90" fillId="2" borderId="6" xfId="0" applyFont="1" applyFill="1" applyBorder="1" applyAlignment="1">
      <alignment horizontal="left" vertical="top" wrapText="1"/>
    </xf>
    <xf numFmtId="0" fontId="90" fillId="2" borderId="7" xfId="0" applyFont="1" applyFill="1" applyBorder="1" applyAlignment="1">
      <alignment horizontal="left" vertical="top" wrapText="1"/>
    </xf>
    <xf numFmtId="0" fontId="90" fillId="2" borderId="8" xfId="0" applyFont="1" applyFill="1" applyBorder="1" applyAlignment="1">
      <alignment horizontal="left" vertical="top" wrapText="1"/>
    </xf>
    <xf numFmtId="0" fontId="87" fillId="3" borderId="12" xfId="0" applyFont="1" applyFill="1" applyBorder="1" applyAlignment="1">
      <alignment horizontal="center" wrapText="1"/>
    </xf>
    <xf numFmtId="0" fontId="87" fillId="3" borderId="117" xfId="0" applyFont="1" applyFill="1" applyBorder="1" applyAlignment="1">
      <alignment horizontal="center" wrapText="1"/>
    </xf>
    <xf numFmtId="0" fontId="87" fillId="3" borderId="35" xfId="0" applyFont="1" applyFill="1" applyBorder="1" applyAlignment="1">
      <alignment horizontal="center" wrapText="1"/>
    </xf>
    <xf numFmtId="0" fontId="87" fillId="3" borderId="120" xfId="0" applyFont="1" applyFill="1" applyBorder="1" applyAlignment="1">
      <alignment horizontal="center" wrapText="1"/>
    </xf>
    <xf numFmtId="0" fontId="93" fillId="0" borderId="41" xfId="0" applyFont="1" applyBorder="1" applyAlignment="1">
      <alignment vertical="center" wrapText="1"/>
    </xf>
    <xf numFmtId="0" fontId="93" fillId="0" borderId="38" xfId="0" applyFont="1" applyBorder="1" applyAlignment="1">
      <alignment horizontal="left" vertical="center" wrapText="1"/>
    </xf>
    <xf numFmtId="0" fontId="93" fillId="0" borderId="42" xfId="0" applyFont="1" applyBorder="1" applyAlignment="1">
      <alignment vertical="center" wrapText="1"/>
    </xf>
    <xf numFmtId="0" fontId="90" fillId="0" borderId="102" xfId="0" applyFont="1" applyBorder="1" applyAlignment="1">
      <alignment horizontal="left" vertical="center" wrapText="1"/>
    </xf>
    <xf numFmtId="0" fontId="94" fillId="6" borderId="122" xfId="0" applyFont="1" applyFill="1" applyBorder="1" applyAlignment="1">
      <alignment horizontal="left"/>
    </xf>
    <xf numFmtId="0" fontId="94" fillId="6" borderId="17" xfId="0" applyFont="1" applyFill="1" applyBorder="1" applyAlignment="1">
      <alignment horizontal="left"/>
    </xf>
    <xf numFmtId="0" fontId="88" fillId="6" borderId="123" xfId="0" applyFont="1" applyFill="1" applyBorder="1" applyAlignment="1">
      <alignment horizontal="left" wrapText="1"/>
    </xf>
    <xf numFmtId="0" fontId="88" fillId="6" borderId="50" xfId="0" applyFont="1" applyFill="1" applyBorder="1" applyAlignment="1">
      <alignment horizontal="left" wrapText="1"/>
    </xf>
    <xf numFmtId="0" fontId="65" fillId="0" borderId="78"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6" xfId="0" applyFont="1" applyBorder="1" applyAlignment="1">
      <alignment horizontal="center" vertical="center" wrapText="1"/>
    </xf>
    <xf numFmtId="0" fontId="12" fillId="13" borderId="14" xfId="0" applyFont="1" applyFill="1" applyBorder="1" applyAlignment="1">
      <alignment horizontal="left" vertical="center"/>
    </xf>
    <xf numFmtId="0" fontId="12" fillId="13" borderId="23" xfId="0" applyFont="1" applyFill="1" applyBorder="1" applyAlignment="1">
      <alignment horizontal="left" vertical="center"/>
    </xf>
    <xf numFmtId="0" fontId="12" fillId="13" borderId="119" xfId="0" applyFont="1" applyFill="1" applyBorder="1" applyAlignment="1">
      <alignment horizontal="center" vertical="center" wrapText="1"/>
    </xf>
    <xf numFmtId="0" fontId="12" fillId="13" borderId="49"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21" fillId="0" borderId="102" xfId="0" applyFont="1" applyBorder="1" applyAlignment="1">
      <alignment horizontal="left" vertical="top" wrapText="1"/>
    </xf>
    <xf numFmtId="0" fontId="65" fillId="0" borderId="93" xfId="0" applyFont="1" applyBorder="1" applyAlignment="1">
      <alignment vertical="top" wrapText="1"/>
    </xf>
    <xf numFmtId="0" fontId="23" fillId="0" borderId="100" xfId="0" applyFont="1" applyBorder="1" applyAlignment="1">
      <alignment horizontal="left" vertical="top" wrapText="1"/>
    </xf>
    <xf numFmtId="0" fontId="65" fillId="0" borderId="41" xfId="0" applyFont="1" applyBorder="1" applyAlignment="1">
      <alignment vertical="top" wrapText="1"/>
    </xf>
    <xf numFmtId="0" fontId="23" fillId="0" borderId="38" xfId="0" applyFont="1" applyBorder="1" applyAlignment="1">
      <alignment horizontal="left" vertical="top" wrapText="1"/>
    </xf>
    <xf numFmtId="0" fontId="65" fillId="0" borderId="42" xfId="0" applyFont="1" applyBorder="1" applyAlignment="1">
      <alignment vertical="top" wrapText="1"/>
    </xf>
    <xf numFmtId="0" fontId="27" fillId="13" borderId="122" xfId="0" applyFont="1" applyFill="1" applyBorder="1" applyAlignment="1">
      <alignment horizontal="left" vertical="center" wrapText="1"/>
    </xf>
    <xf numFmtId="0" fontId="27" fillId="13" borderId="17" xfId="0" applyFont="1" applyFill="1" applyBorder="1" applyAlignment="1">
      <alignment horizontal="left" vertical="center" wrapText="1"/>
    </xf>
    <xf numFmtId="0" fontId="28" fillId="13" borderId="123" xfId="0" applyFont="1" applyFill="1" applyBorder="1" applyAlignment="1">
      <alignment horizontal="center" vertical="center" wrapText="1"/>
    </xf>
    <xf numFmtId="0" fontId="28" fillId="13" borderId="50" xfId="0" applyFont="1" applyFill="1" applyBorder="1" applyAlignment="1">
      <alignment horizontal="center" vertical="center" wrapText="1"/>
    </xf>
    <xf numFmtId="0" fontId="85" fillId="0" borderId="100" xfId="0" applyFont="1" applyBorder="1" applyAlignment="1">
      <alignment horizontal="left" vertical="top" wrapText="1"/>
    </xf>
    <xf numFmtId="0" fontId="2" fillId="0" borderId="41" xfId="0" applyFont="1" applyBorder="1" applyAlignment="1">
      <alignment vertical="top"/>
    </xf>
    <xf numFmtId="0" fontId="100" fillId="0" borderId="100" xfId="0" applyFont="1" applyBorder="1" applyAlignment="1">
      <alignment horizontal="left" vertical="top" wrapText="1"/>
    </xf>
    <xf numFmtId="0" fontId="100" fillId="0" borderId="38" xfId="0" applyFont="1" applyBorder="1" applyAlignment="1">
      <alignment horizontal="left" vertical="top"/>
    </xf>
    <xf numFmtId="0" fontId="2" fillId="0" borderId="42" xfId="0" applyFont="1" applyBorder="1" applyAlignment="1">
      <alignment vertical="top"/>
    </xf>
    <xf numFmtId="0" fontId="27" fillId="11" borderId="122" xfId="0" applyFont="1" applyFill="1" applyBorder="1" applyAlignment="1">
      <alignment horizontal="left" vertical="center" wrapText="1"/>
    </xf>
    <xf numFmtId="0" fontId="27" fillId="11" borderId="17" xfId="0" applyFont="1" applyFill="1" applyBorder="1" applyAlignment="1">
      <alignment horizontal="left" vertical="center" wrapText="1"/>
    </xf>
    <xf numFmtId="0" fontId="36" fillId="11" borderId="119"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84" fillId="0" borderId="100" xfId="0" applyFont="1" applyBorder="1" applyAlignment="1">
      <alignment horizontal="left" vertical="center" wrapText="1"/>
    </xf>
    <xf numFmtId="0" fontId="65" fillId="0" borderId="41" xfId="0" applyFont="1" applyBorder="1" applyAlignment="1">
      <alignment horizontal="left"/>
    </xf>
    <xf numFmtId="0" fontId="84" fillId="0" borderId="38" xfId="0" applyFont="1" applyBorder="1" applyAlignment="1">
      <alignment horizontal="left"/>
    </xf>
    <xf numFmtId="0" fontId="65" fillId="0" borderId="42" xfId="0" applyFont="1" applyBorder="1" applyAlignment="1">
      <alignment horizontal="left"/>
    </xf>
    <xf numFmtId="0" fontId="28" fillId="11" borderId="123" xfId="0" applyFont="1" applyFill="1" applyBorder="1" applyAlignment="1">
      <alignment horizontal="center" vertical="center" wrapText="1"/>
    </xf>
    <xf numFmtId="0" fontId="28" fillId="11" borderId="50" xfId="0" applyFont="1" applyFill="1" applyBorder="1" applyAlignment="1">
      <alignment horizontal="center" vertical="center" wrapText="1"/>
    </xf>
    <xf numFmtId="0" fontId="0" fillId="0" borderId="41" xfId="0" applyBorder="1" applyAlignment="1">
      <alignment horizontal="left"/>
    </xf>
    <xf numFmtId="0" fontId="0" fillId="0" borderId="42" xfId="0" applyBorder="1" applyAlignment="1">
      <alignment horizontal="left"/>
    </xf>
    <xf numFmtId="0" fontId="65" fillId="0" borderId="38" xfId="0" applyFont="1" applyBorder="1" applyAlignment="1"/>
    <xf numFmtId="0" fontId="84" fillId="0" borderId="100" xfId="0" applyFont="1" applyBorder="1" applyAlignment="1">
      <alignment horizontal="left" vertical="top" wrapText="1"/>
    </xf>
    <xf numFmtId="0" fontId="65" fillId="0" borderId="41" xfId="0" applyFont="1" applyBorder="1" applyAlignment="1">
      <alignment vertical="top"/>
    </xf>
    <xf numFmtId="0" fontId="65" fillId="0" borderId="38" xfId="0" applyFont="1" applyBorder="1" applyAlignment="1">
      <alignment vertical="top"/>
    </xf>
    <xf numFmtId="0" fontId="65" fillId="0" borderId="42" xfId="0" applyFont="1" applyBorder="1" applyAlignment="1">
      <alignment vertical="top"/>
    </xf>
    <xf numFmtId="0" fontId="29" fillId="6" borderId="47" xfId="0" applyFont="1" applyFill="1" applyBorder="1" applyAlignment="1">
      <alignment horizontal="center" vertical="center" wrapText="1"/>
    </xf>
    <xf numFmtId="0" fontId="29" fillId="6" borderId="51" xfId="0" applyFont="1" applyFill="1" applyBorder="1" applyAlignment="1">
      <alignment horizontal="center" vertical="center" wrapText="1"/>
    </xf>
    <xf numFmtId="0" fontId="21" fillId="0" borderId="100" xfId="0" applyFont="1" applyBorder="1" applyAlignment="1">
      <alignment horizontal="left" vertical="top" wrapText="1"/>
    </xf>
    <xf numFmtId="0" fontId="21" fillId="0" borderId="38" xfId="0" applyFont="1" applyBorder="1" applyAlignment="1">
      <alignment horizontal="left" vertical="top" wrapText="1"/>
    </xf>
    <xf numFmtId="0" fontId="2" fillId="0" borderId="41" xfId="0" applyFont="1" applyFill="1" applyBorder="1" applyAlignment="1">
      <alignment vertical="center" wrapText="1"/>
    </xf>
    <xf numFmtId="0" fontId="74" fillId="0" borderId="100"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2" fillId="0" borderId="42" xfId="0" applyFont="1" applyFill="1" applyBorder="1" applyAlignment="1">
      <alignment vertical="center" wrapText="1"/>
    </xf>
    <xf numFmtId="0" fontId="21" fillId="0" borderId="102" xfId="0" applyFont="1" applyBorder="1" applyAlignment="1">
      <alignment horizontal="left" vertical="center" wrapText="1"/>
    </xf>
    <xf numFmtId="0" fontId="65" fillId="0" borderId="93" xfId="0" applyFont="1" applyBorder="1" applyAlignment="1">
      <alignment wrapText="1"/>
    </xf>
    <xf numFmtId="0" fontId="65" fillId="0" borderId="41" xfId="0" applyFont="1" applyBorder="1" applyAlignment="1">
      <alignment wrapText="1"/>
    </xf>
    <xf numFmtId="0" fontId="21" fillId="0" borderId="38" xfId="0" applyFont="1" applyBorder="1" applyAlignment="1">
      <alignment horizontal="left" vertical="center" wrapText="1"/>
    </xf>
    <xf numFmtId="0" fontId="65" fillId="0" borderId="42" xfId="0" applyFont="1" applyBorder="1" applyAlignment="1">
      <alignment wrapText="1"/>
    </xf>
    <xf numFmtId="0" fontId="27" fillId="6" borderId="122" xfId="0" applyFont="1" applyFill="1" applyBorder="1" applyAlignment="1">
      <alignment horizontal="left" vertical="center"/>
    </xf>
    <xf numFmtId="0" fontId="27" fillId="6" borderId="17" xfId="0" applyFont="1" applyFill="1" applyBorder="1" applyAlignment="1">
      <alignment horizontal="left" vertical="center"/>
    </xf>
    <xf numFmtId="0" fontId="28" fillId="6" borderId="123" xfId="0" applyFont="1" applyFill="1" applyBorder="1" applyAlignment="1">
      <alignment horizontal="center" vertical="center" wrapText="1"/>
    </xf>
    <xf numFmtId="0" fontId="28" fillId="6" borderId="50" xfId="0" applyFont="1" applyFill="1" applyBorder="1" applyAlignment="1">
      <alignment horizontal="center" vertical="center" wrapText="1"/>
    </xf>
    <xf numFmtId="0" fontId="15" fillId="0" borderId="136" xfId="0" applyFont="1" applyBorder="1" applyAlignment="1">
      <alignment horizontal="left" vertical="center" wrapText="1"/>
    </xf>
    <xf numFmtId="0" fontId="0" fillId="0" borderId="137" xfId="0" applyBorder="1" applyAlignment="1">
      <alignment vertical="center" wrapText="1"/>
    </xf>
    <xf numFmtId="0" fontId="15" fillId="0" borderId="101" xfId="0" applyFont="1" applyBorder="1" applyAlignment="1">
      <alignment horizontal="left" vertical="center" wrapText="1"/>
    </xf>
    <xf numFmtId="0" fontId="0" fillId="0" borderId="138" xfId="0" applyBorder="1" applyAlignment="1">
      <alignment vertical="center" wrapText="1"/>
    </xf>
    <xf numFmtId="0" fontId="15" fillId="0" borderId="139" xfId="0" applyFont="1" applyBorder="1" applyAlignment="1">
      <alignment horizontal="left" vertical="center" wrapText="1"/>
    </xf>
    <xf numFmtId="0" fontId="0" fillId="0" borderId="140" xfId="0" applyBorder="1" applyAlignment="1">
      <alignment vertical="center" wrapText="1"/>
    </xf>
    <xf numFmtId="0" fontId="105" fillId="13" borderId="133" xfId="0" applyFont="1" applyFill="1" applyBorder="1" applyAlignment="1">
      <alignment horizontal="left"/>
    </xf>
    <xf numFmtId="0" fontId="105" fillId="13" borderId="133" xfId="0" applyFont="1" applyFill="1" applyBorder="1" applyAlignment="1">
      <alignment horizontal="center" wrapText="1"/>
    </xf>
    <xf numFmtId="0" fontId="106" fillId="13" borderId="133" xfId="0" applyFont="1" applyFill="1" applyBorder="1" applyAlignment="1">
      <alignment horizontal="center" wrapText="1"/>
    </xf>
    <xf numFmtId="0" fontId="114" fillId="13" borderId="133" xfId="0" applyFont="1" applyFill="1" applyBorder="1" applyAlignment="1">
      <alignment horizontal="center" wrapText="1"/>
    </xf>
    <xf numFmtId="0" fontId="124" fillId="0" borderId="136" xfId="0" applyFont="1" applyBorder="1" applyAlignment="1">
      <alignment horizontal="left" vertical="center" wrapText="1"/>
    </xf>
    <xf numFmtId="0" fontId="124" fillId="0" borderId="137" xfId="0" applyFont="1" applyBorder="1" applyAlignment="1">
      <alignment horizontal="left" vertical="center" wrapText="1"/>
    </xf>
    <xf numFmtId="0" fontId="124" fillId="0" borderId="101" xfId="0" applyFont="1" applyBorder="1" applyAlignment="1">
      <alignment horizontal="left" vertical="center" wrapText="1"/>
    </xf>
    <xf numFmtId="0" fontId="124" fillId="0" borderId="138" xfId="0" applyFont="1" applyBorder="1" applyAlignment="1">
      <alignment horizontal="left" vertical="center" wrapText="1"/>
    </xf>
    <xf numFmtId="0" fontId="124" fillId="0" borderId="139" xfId="0" applyFont="1" applyBorder="1" applyAlignment="1">
      <alignment horizontal="left" vertical="center" wrapText="1"/>
    </xf>
    <xf numFmtId="0" fontId="124" fillId="0" borderId="140" xfId="0" applyFont="1" applyBorder="1" applyAlignment="1">
      <alignment horizontal="left" vertical="center" wrapText="1"/>
    </xf>
    <xf numFmtId="0" fontId="114" fillId="12" borderId="133" xfId="0" applyFont="1" applyFill="1" applyBorder="1" applyAlignment="1">
      <alignment horizontal="center" wrapText="1"/>
    </xf>
    <xf numFmtId="0" fontId="114" fillId="0" borderId="136" xfId="0" applyFont="1" applyBorder="1" applyAlignment="1">
      <alignment horizontal="left" vertical="center" wrapText="1"/>
    </xf>
    <xf numFmtId="0" fontId="55" fillId="0" borderId="137" xfId="0" applyFont="1" applyBorder="1" applyAlignment="1"/>
    <xf numFmtId="0" fontId="114" fillId="0" borderId="101" xfId="0" applyFont="1" applyBorder="1" applyAlignment="1">
      <alignment horizontal="left" vertical="center" wrapText="1"/>
    </xf>
    <xf numFmtId="0" fontId="55" fillId="0" borderId="138" xfId="0" applyFont="1" applyBorder="1" applyAlignment="1"/>
    <xf numFmtId="0" fontId="114" fillId="0" borderId="139" xfId="0" applyFont="1" applyBorder="1" applyAlignment="1">
      <alignment horizontal="left"/>
    </xf>
    <xf numFmtId="0" fontId="55" fillId="0" borderId="140" xfId="0" applyFont="1" applyBorder="1" applyAlignment="1"/>
    <xf numFmtId="0" fontId="112" fillId="12" borderId="133" xfId="0" applyFont="1" applyFill="1" applyBorder="1" applyAlignment="1">
      <alignment horizontal="left" wrapText="1"/>
    </xf>
    <xf numFmtId="0" fontId="118" fillId="12" borderId="133" xfId="0" applyFont="1" applyFill="1" applyBorder="1" applyAlignment="1">
      <alignment horizontal="center" wrapText="1"/>
    </xf>
    <xf numFmtId="0" fontId="84" fillId="0" borderId="136" xfId="0" applyFont="1" applyBorder="1" applyAlignment="1">
      <alignment horizontal="left" wrapText="1"/>
    </xf>
    <xf numFmtId="0" fontId="65" fillId="0" borderId="137" xfId="0" applyFont="1" applyBorder="1" applyAlignment="1">
      <alignment wrapText="1"/>
    </xf>
    <xf numFmtId="0" fontId="84" fillId="0" borderId="101" xfId="0" applyFont="1" applyBorder="1" applyAlignment="1">
      <alignment horizontal="left" wrapText="1"/>
    </xf>
    <xf numFmtId="0" fontId="65" fillId="0" borderId="138" xfId="0" applyFont="1" applyBorder="1" applyAlignment="1">
      <alignment wrapText="1"/>
    </xf>
    <xf numFmtId="0" fontId="84" fillId="0" borderId="139" xfId="0" applyFont="1" applyBorder="1" applyAlignment="1">
      <alignment horizontal="left" wrapText="1"/>
    </xf>
    <xf numFmtId="0" fontId="65" fillId="0" borderId="140" xfId="0" applyFont="1" applyBorder="1" applyAlignment="1">
      <alignment wrapText="1"/>
    </xf>
    <xf numFmtId="0" fontId="112" fillId="13" borderId="133" xfId="0" applyFont="1" applyFill="1" applyBorder="1" applyAlignment="1">
      <alignment horizontal="left" wrapText="1"/>
    </xf>
    <xf numFmtId="0" fontId="112" fillId="11" borderId="133" xfId="0" applyFont="1" applyFill="1" applyBorder="1" applyAlignment="1">
      <alignment horizontal="left" wrapText="1"/>
    </xf>
    <xf numFmtId="0" fontId="118" fillId="11" borderId="133" xfId="0" applyFont="1" applyFill="1" applyBorder="1" applyAlignment="1">
      <alignment horizontal="center" wrapText="1"/>
    </xf>
    <xf numFmtId="0" fontId="105" fillId="11" borderId="133" xfId="0" applyFont="1" applyFill="1" applyBorder="1" applyAlignment="1">
      <alignment horizontal="center" wrapText="1"/>
    </xf>
    <xf numFmtId="0" fontId="112" fillId="11" borderId="132" xfId="0" applyFont="1" applyFill="1" applyBorder="1" applyAlignment="1">
      <alignment horizontal="center" wrapText="1"/>
    </xf>
    <xf numFmtId="0" fontId="112" fillId="11" borderId="142" xfId="0" applyFont="1" applyFill="1" applyBorder="1" applyAlignment="1">
      <alignment horizontal="center" wrapText="1"/>
    </xf>
    <xf numFmtId="0" fontId="107" fillId="0" borderId="136" xfId="0" applyFont="1" applyBorder="1" applyAlignment="1">
      <alignment horizontal="left" vertical="center" wrapText="1"/>
    </xf>
    <xf numFmtId="0" fontId="107" fillId="0" borderId="137" xfId="0" applyFont="1" applyBorder="1" applyAlignment="1">
      <alignment horizontal="left" vertical="center" wrapText="1"/>
    </xf>
    <xf numFmtId="0" fontId="107" fillId="0" borderId="101" xfId="0" applyFont="1" applyBorder="1" applyAlignment="1">
      <alignment horizontal="left" vertical="center" wrapText="1"/>
    </xf>
    <xf numFmtId="0" fontId="107" fillId="0" borderId="138" xfId="0" applyFont="1" applyBorder="1" applyAlignment="1">
      <alignment horizontal="left" vertical="center" wrapText="1"/>
    </xf>
    <xf numFmtId="0" fontId="107" fillId="0" borderId="139" xfId="0" applyFont="1" applyBorder="1" applyAlignment="1">
      <alignment horizontal="left" vertical="center" wrapText="1"/>
    </xf>
    <xf numFmtId="0" fontId="107" fillId="0" borderId="140" xfId="0" applyFont="1" applyBorder="1" applyAlignment="1">
      <alignment horizontal="left" vertical="center" wrapText="1"/>
    </xf>
    <xf numFmtId="0" fontId="112" fillId="12" borderId="133" xfId="0" applyFont="1" applyFill="1" applyBorder="1" applyAlignment="1">
      <alignment horizontal="center" wrapText="1"/>
    </xf>
    <xf numFmtId="0" fontId="114" fillId="0" borderId="139" xfId="0" applyFont="1" applyBorder="1" applyAlignment="1"/>
    <xf numFmtId="0" fontId="112" fillId="11" borderId="133" xfId="0" applyFont="1" applyFill="1" applyBorder="1" applyAlignment="1">
      <alignment horizontal="center" wrapText="1"/>
    </xf>
    <xf numFmtId="0" fontId="114" fillId="11" borderId="133" xfId="0" applyFont="1" applyFill="1" applyBorder="1" applyAlignment="1">
      <alignment horizontal="center" wrapText="1"/>
    </xf>
    <xf numFmtId="0" fontId="121" fillId="7" borderId="132" xfId="0" applyFont="1" applyFill="1" applyBorder="1" applyAlignment="1">
      <alignment horizontal="left" vertical="top" wrapText="1"/>
    </xf>
    <xf numFmtId="0" fontId="121" fillId="7" borderId="134" xfId="0" applyFont="1" applyFill="1" applyBorder="1" applyAlignment="1">
      <alignment horizontal="left" vertical="top" wrapText="1"/>
    </xf>
    <xf numFmtId="0" fontId="121" fillId="7" borderId="142" xfId="0" applyFont="1" applyFill="1" applyBorder="1" applyAlignment="1">
      <alignment horizontal="left" vertical="top" wrapText="1"/>
    </xf>
    <xf numFmtId="0" fontId="114" fillId="0" borderId="138" xfId="0" applyFont="1" applyBorder="1" applyAlignment="1">
      <alignment horizontal="left" vertical="center" wrapText="1"/>
    </xf>
    <xf numFmtId="0" fontId="114" fillId="0" borderId="139" xfId="0" applyFont="1" applyBorder="1" applyAlignment="1">
      <alignment horizontal="center" vertical="center" wrapText="1"/>
    </xf>
    <xf numFmtId="0" fontId="114" fillId="0" borderId="140" xfId="0" applyFont="1" applyBorder="1" applyAlignment="1">
      <alignment horizontal="center" vertical="center" wrapText="1"/>
    </xf>
    <xf numFmtId="0" fontId="116" fillId="0" borderId="136" xfId="0" applyFont="1" applyBorder="1" applyAlignment="1">
      <alignment horizontal="left" vertical="center" wrapText="1"/>
    </xf>
    <xf numFmtId="0" fontId="116" fillId="0" borderId="137" xfId="0" applyFont="1" applyBorder="1" applyAlignment="1">
      <alignment horizontal="left" vertical="center" wrapText="1"/>
    </xf>
    <xf numFmtId="0" fontId="116" fillId="0" borderId="101" xfId="0" applyFont="1" applyBorder="1" applyAlignment="1">
      <alignment horizontal="left" vertical="center" wrapText="1"/>
    </xf>
    <xf numFmtId="0" fontId="116" fillId="0" borderId="138" xfId="0" applyFont="1" applyBorder="1" applyAlignment="1">
      <alignment horizontal="left" vertical="center" wrapText="1"/>
    </xf>
    <xf numFmtId="0" fontId="116" fillId="0" borderId="139" xfId="0" applyFont="1" applyBorder="1" applyAlignment="1">
      <alignment horizontal="left" vertical="center" wrapText="1"/>
    </xf>
    <xf numFmtId="0" fontId="116" fillId="0" borderId="140" xfId="0" applyFont="1" applyBorder="1" applyAlignment="1">
      <alignment horizontal="left" vertical="center" wrapText="1"/>
    </xf>
    <xf numFmtId="0" fontId="117" fillId="0" borderId="136" xfId="0" applyFont="1" applyBorder="1" applyAlignment="1">
      <alignment horizontal="left" vertical="center" wrapText="1"/>
    </xf>
    <xf numFmtId="0" fontId="0" fillId="0" borderId="137" xfId="0" applyBorder="1" applyAlignment="1"/>
    <xf numFmtId="0" fontId="21" fillId="0" borderId="101" xfId="0" applyFont="1" applyBorder="1" applyAlignment="1">
      <alignment horizontal="left" vertical="center" wrapText="1"/>
    </xf>
    <xf numFmtId="0" fontId="0" fillId="0" borderId="138" xfId="0" applyBorder="1" applyAlignment="1"/>
    <xf numFmtId="0" fontId="21" fillId="0" borderId="139" xfId="0" applyFont="1" applyBorder="1" applyAlignment="1"/>
    <xf numFmtId="0" fontId="0" fillId="0" borderId="140" xfId="0" applyBorder="1" applyAlignment="1"/>
    <xf numFmtId="0" fontId="112" fillId="6" borderId="133" xfId="0" applyFont="1" applyFill="1" applyBorder="1" applyAlignment="1">
      <alignment horizontal="center" wrapText="1"/>
    </xf>
    <xf numFmtId="0" fontId="113" fillId="6" borderId="133" xfId="0" applyFont="1" applyFill="1" applyBorder="1" applyAlignment="1">
      <alignment horizontal="center" wrapText="1"/>
    </xf>
    <xf numFmtId="0" fontId="113" fillId="0" borderId="101" xfId="0" applyFont="1" applyBorder="1" applyAlignment="1">
      <alignment horizontal="left" vertical="center" wrapText="1"/>
    </xf>
    <xf numFmtId="0" fontId="106" fillId="0" borderId="101" xfId="0" applyFont="1" applyBorder="1" applyAlignment="1">
      <alignment horizontal="center" vertical="center" wrapText="1"/>
    </xf>
    <xf numFmtId="0" fontId="106" fillId="0" borderId="138" xfId="0" applyFont="1" applyBorder="1" applyAlignment="1">
      <alignment horizontal="center" vertical="center" wrapText="1"/>
    </xf>
    <xf numFmtId="0" fontId="106" fillId="0" borderId="139" xfId="0" applyFont="1" applyBorder="1" applyAlignment="1">
      <alignment horizontal="center" vertical="center" wrapText="1"/>
    </xf>
    <xf numFmtId="0" fontId="106" fillId="0" borderId="140" xfId="0" applyFont="1" applyBorder="1" applyAlignment="1">
      <alignment horizontal="center" vertical="center" wrapText="1"/>
    </xf>
    <xf numFmtId="0" fontId="112" fillId="6" borderId="133" xfId="0" applyFont="1" applyFill="1" applyBorder="1" applyAlignment="1">
      <alignment horizontal="left"/>
    </xf>
    <xf numFmtId="0" fontId="105" fillId="6" borderId="133" xfId="0" applyFont="1" applyFill="1" applyBorder="1" applyAlignment="1">
      <alignment horizontal="center" wrapText="1"/>
    </xf>
    <xf numFmtId="0" fontId="106" fillId="7" borderId="101" xfId="0" applyFont="1" applyFill="1" applyBorder="1" applyAlignment="1">
      <alignment horizontal="left" vertical="center" wrapText="1"/>
    </xf>
    <xf numFmtId="0" fontId="106" fillId="7" borderId="138" xfId="0" applyFont="1" applyFill="1" applyBorder="1" applyAlignment="1">
      <alignment horizontal="left" vertical="center" wrapText="1"/>
    </xf>
    <xf numFmtId="0" fontId="106" fillId="0" borderId="101" xfId="0" applyFont="1" applyBorder="1" applyAlignment="1">
      <alignment horizontal="left" vertical="center" wrapText="1"/>
    </xf>
    <xf numFmtId="0" fontId="106" fillId="0" borderId="138" xfId="0" applyFont="1" applyBorder="1" applyAlignment="1">
      <alignment horizontal="left" vertical="center" wrapText="1"/>
    </xf>
    <xf numFmtId="0" fontId="107" fillId="0" borderId="136" xfId="0" applyFont="1" applyBorder="1" applyAlignment="1">
      <alignment horizontal="left" vertical="top" wrapText="1"/>
    </xf>
    <xf numFmtId="0" fontId="107" fillId="0" borderId="137" xfId="0" applyFont="1" applyBorder="1" applyAlignment="1">
      <alignment horizontal="left" vertical="top" wrapText="1"/>
    </xf>
    <xf numFmtId="0" fontId="107" fillId="0" borderId="101" xfId="0" applyFont="1" applyBorder="1" applyAlignment="1">
      <alignment horizontal="left" vertical="top" wrapText="1"/>
    </xf>
    <xf numFmtId="0" fontId="107" fillId="0" borderId="138" xfId="0" applyFont="1" applyBorder="1" applyAlignment="1">
      <alignment horizontal="left" vertical="top" wrapText="1"/>
    </xf>
    <xf numFmtId="0" fontId="107" fillId="7" borderId="136" xfId="0" applyFont="1" applyFill="1" applyBorder="1" applyAlignment="1">
      <alignment horizontal="left" vertical="center" wrapText="1"/>
    </xf>
    <xf numFmtId="0" fontId="106" fillId="7" borderId="137" xfId="0" applyFont="1" applyFill="1" applyBorder="1" applyAlignment="1">
      <alignment horizontal="left" vertical="center" wrapText="1"/>
    </xf>
    <xf numFmtId="0" fontId="4" fillId="0" borderId="0" xfId="0" applyFont="1" applyAlignment="1">
      <alignment horizontal="center"/>
    </xf>
    <xf numFmtId="0" fontId="105" fillId="3" borderId="133" xfId="0" applyFont="1" applyFill="1" applyBorder="1" applyAlignment="1">
      <alignment horizontal="center" wrapText="1"/>
    </xf>
    <xf numFmtId="0" fontId="106" fillId="7" borderId="136" xfId="0" applyFont="1" applyFill="1" applyBorder="1" applyAlignment="1">
      <alignment horizontal="left" vertical="center" wrapText="1"/>
    </xf>
    <xf numFmtId="167" fontId="53" fillId="0" borderId="148" xfId="3" applyFont="1" applyFill="1" applyBorder="1" applyAlignment="1">
      <alignment horizontal="left" vertical="center" wrapText="1"/>
    </xf>
    <xf numFmtId="167" fontId="136" fillId="0" borderId="148" xfId="3" applyFont="1" applyFill="1" applyBorder="1" applyAlignment="1">
      <alignment horizontal="left" vertical="center" wrapText="1"/>
    </xf>
    <xf numFmtId="0" fontId="65" fillId="0" borderId="157" xfId="0" applyFont="1" applyFill="1" applyBorder="1" applyAlignment="1">
      <alignment vertical="top" wrapText="1"/>
    </xf>
    <xf numFmtId="0" fontId="0" fillId="0" borderId="157" xfId="0" applyFill="1" applyBorder="1" applyAlignment="1">
      <alignment vertical="top" wrapText="1"/>
    </xf>
    <xf numFmtId="167" fontId="150" fillId="0" borderId="148" xfId="3" applyFont="1" applyFill="1" applyBorder="1" applyAlignment="1">
      <alignment horizontal="left" vertical="top" wrapText="1"/>
    </xf>
    <xf numFmtId="167" fontId="153" fillId="0" borderId="150" xfId="3" applyFont="1" applyFill="1" applyBorder="1" applyAlignment="1">
      <alignment horizontal="left" vertical="top" wrapText="1"/>
    </xf>
    <xf numFmtId="167" fontId="153" fillId="0" borderId="157" xfId="3" applyFont="1" applyFill="1" applyBorder="1" applyAlignment="1">
      <alignment horizontal="left" vertical="top" wrapText="1"/>
    </xf>
    <xf numFmtId="167" fontId="136" fillId="29" borderId="156" xfId="3" applyFont="1" applyFill="1" applyBorder="1" applyAlignment="1">
      <alignment horizontal="center" wrapText="1"/>
    </xf>
    <xf numFmtId="167" fontId="136" fillId="0" borderId="157" xfId="3" applyFont="1" applyFill="1" applyBorder="1" applyAlignment="1">
      <alignment horizontal="left" vertical="center" wrapText="1"/>
    </xf>
    <xf numFmtId="167" fontId="134" fillId="29" borderId="148" xfId="3" applyFont="1" applyFill="1" applyBorder="1" applyAlignment="1">
      <alignment horizontal="left"/>
    </xf>
    <xf numFmtId="167" fontId="134" fillId="29" borderId="148" xfId="3" applyFont="1" applyFill="1" applyBorder="1" applyAlignment="1">
      <alignment horizontal="center" wrapText="1"/>
    </xf>
    <xf numFmtId="167" fontId="136" fillId="29" borderId="148" xfId="3" applyFont="1" applyFill="1" applyBorder="1" applyAlignment="1">
      <alignment horizontal="center" wrapText="1"/>
    </xf>
    <xf numFmtId="167" fontId="136" fillId="29" borderId="159" xfId="3" applyFont="1" applyFill="1" applyBorder="1" applyAlignment="1">
      <alignment horizontal="center" wrapText="1"/>
    </xf>
    <xf numFmtId="167" fontId="136" fillId="29" borderId="151" xfId="3" applyFont="1" applyFill="1" applyBorder="1" applyAlignment="1">
      <alignment horizontal="center" wrapText="1"/>
    </xf>
    <xf numFmtId="0" fontId="0" fillId="0" borderId="157" xfId="0" applyFill="1" applyBorder="1"/>
    <xf numFmtId="0" fontId="0" fillId="0" borderId="148" xfId="0" applyFill="1" applyBorder="1"/>
    <xf numFmtId="167" fontId="134" fillId="29" borderId="147" xfId="3" applyFont="1" applyFill="1" applyBorder="1" applyAlignment="1">
      <alignment horizontal="left" wrapText="1"/>
    </xf>
    <xf numFmtId="167" fontId="136" fillId="28" borderId="159" xfId="3" applyFont="1" applyFill="1" applyBorder="1" applyAlignment="1">
      <alignment horizontal="center" wrapText="1"/>
    </xf>
    <xf numFmtId="167" fontId="134" fillId="28" borderId="146" xfId="3" applyFont="1" applyFill="1" applyBorder="1" applyAlignment="1">
      <alignment horizontal="left" wrapText="1"/>
    </xf>
    <xf numFmtId="167" fontId="132" fillId="28" borderId="147" xfId="3" applyFont="1" applyFill="1" applyBorder="1" applyAlignment="1">
      <alignment horizontal="center" wrapText="1"/>
    </xf>
    <xf numFmtId="167" fontId="136" fillId="28" borderId="151" xfId="3" applyFont="1" applyFill="1" applyBorder="1" applyAlignment="1">
      <alignment horizontal="center" wrapText="1"/>
    </xf>
    <xf numFmtId="167" fontId="134" fillId="28" borderId="147" xfId="3" applyFont="1" applyFill="1" applyBorder="1" applyAlignment="1">
      <alignment horizontal="left" wrapText="1"/>
    </xf>
    <xf numFmtId="167" fontId="136" fillId="28" borderId="148" xfId="3" applyFont="1" applyFill="1" applyBorder="1" applyAlignment="1">
      <alignment horizontal="center" wrapText="1"/>
    </xf>
    <xf numFmtId="167" fontId="134" fillId="25" borderId="147" xfId="3" applyFont="1" applyFill="1" applyBorder="1" applyAlignment="1">
      <alignment horizontal="left" wrapText="1"/>
    </xf>
    <xf numFmtId="167" fontId="132" fillId="25" borderId="147" xfId="3" applyFont="1" applyFill="1" applyBorder="1" applyAlignment="1">
      <alignment horizontal="center" wrapText="1"/>
    </xf>
    <xf numFmtId="167" fontId="136" fillId="25" borderId="159" xfId="3" applyFont="1" applyFill="1" applyBorder="1" applyAlignment="1">
      <alignment horizontal="center" wrapText="1"/>
    </xf>
    <xf numFmtId="0" fontId="65" fillId="0" borderId="152" xfId="0" applyFont="1" applyFill="1" applyBorder="1" applyAlignment="1">
      <alignment vertical="center" wrapText="1"/>
    </xf>
    <xf numFmtId="0" fontId="65" fillId="0" borderId="153" xfId="0" applyFont="1" applyFill="1" applyBorder="1" applyAlignment="1">
      <alignment vertical="center" wrapText="1"/>
    </xf>
    <xf numFmtId="0" fontId="65" fillId="0" borderId="154" xfId="0" applyFont="1" applyFill="1" applyBorder="1" applyAlignment="1">
      <alignment vertical="center" wrapText="1"/>
    </xf>
    <xf numFmtId="0" fontId="65" fillId="0" borderId="155" xfId="0" applyFont="1" applyFill="1" applyBorder="1" applyAlignment="1">
      <alignment vertical="center" wrapText="1"/>
    </xf>
    <xf numFmtId="167" fontId="137" fillId="25" borderId="156" xfId="3" applyFont="1" applyFill="1" applyBorder="1" applyAlignment="1">
      <alignment horizontal="center" wrapText="1"/>
    </xf>
    <xf numFmtId="167" fontId="74" fillId="0" borderId="157" xfId="3" applyFont="1" applyFill="1" applyBorder="1" applyAlignment="1">
      <alignment horizontal="left" vertical="center" wrapText="1"/>
    </xf>
    <xf numFmtId="167" fontId="136" fillId="25" borderId="148" xfId="3" applyFont="1" applyFill="1" applyBorder="1" applyAlignment="1">
      <alignment horizontal="center" wrapText="1"/>
    </xf>
    <xf numFmtId="167" fontId="21" fillId="0" borderId="157" xfId="3" applyFont="1" applyFill="1" applyBorder="1" applyAlignment="1">
      <alignment horizontal="left" vertical="center" wrapText="1"/>
    </xf>
    <xf numFmtId="167" fontId="135" fillId="17" borderId="148" xfId="3" applyFont="1" applyFill="1" applyBorder="1" applyAlignment="1">
      <alignment horizontal="center" wrapText="1"/>
    </xf>
    <xf numFmtId="167" fontId="136" fillId="0" borderId="152" xfId="3" applyFont="1" applyFill="1" applyBorder="1" applyAlignment="1">
      <alignment horizontal="left" vertical="top" wrapText="1"/>
    </xf>
    <xf numFmtId="167" fontId="136" fillId="0" borderId="153" xfId="3" applyFont="1" applyFill="1" applyBorder="1" applyAlignment="1">
      <alignment horizontal="left" vertical="top" wrapText="1"/>
    </xf>
    <xf numFmtId="167" fontId="136" fillId="0" borderId="154" xfId="3" applyFont="1" applyFill="1" applyBorder="1" applyAlignment="1">
      <alignment horizontal="left" vertical="top" wrapText="1"/>
    </xf>
    <xf numFmtId="167" fontId="136" fillId="0" borderId="155" xfId="3" applyFont="1" applyFill="1" applyBorder="1" applyAlignment="1">
      <alignment horizontal="left" vertical="top" wrapText="1"/>
    </xf>
    <xf numFmtId="167" fontId="134" fillId="21" borderId="147" xfId="3" applyFont="1" applyFill="1" applyBorder="1" applyAlignment="1">
      <alignment horizontal="left"/>
    </xf>
    <xf numFmtId="167" fontId="136" fillId="21" borderId="148" xfId="3" applyFont="1" applyFill="1" applyBorder="1" applyAlignment="1">
      <alignment horizontal="left" wrapText="1"/>
    </xf>
    <xf numFmtId="167" fontId="137" fillId="21" borderId="159" xfId="3" applyFont="1" applyFill="1" applyBorder="1" applyAlignment="1">
      <alignment horizontal="center" wrapText="1"/>
    </xf>
    <xf numFmtId="167" fontId="137" fillId="21" borderId="156" xfId="3" applyFont="1" applyFill="1" applyBorder="1" applyAlignment="1">
      <alignment horizontal="center" wrapText="1"/>
    </xf>
    <xf numFmtId="167" fontId="21" fillId="0" borderId="152" xfId="3" applyFont="1" applyFill="1" applyBorder="1" applyAlignment="1">
      <alignment horizontal="left" vertical="top" wrapText="1"/>
    </xf>
    <xf numFmtId="167" fontId="126" fillId="0" borderId="0" xfId="3" applyFont="1" applyFill="1" applyBorder="1" applyAlignment="1"/>
    <xf numFmtId="167" fontId="128" fillId="16" borderId="143" xfId="3" applyFont="1" applyFill="1" applyBorder="1" applyAlignment="1">
      <alignment horizontal="center"/>
    </xf>
    <xf numFmtId="0" fontId="0" fillId="16" borderId="144" xfId="0" applyFill="1" applyBorder="1"/>
    <xf numFmtId="167" fontId="129" fillId="16" borderId="145" xfId="3" applyFont="1" applyFill="1" applyBorder="1" applyAlignment="1">
      <alignment horizontal="left" vertical="top" wrapText="1"/>
    </xf>
    <xf numFmtId="167" fontId="135" fillId="17" borderId="149" xfId="3" applyFont="1" applyFill="1" applyBorder="1" applyAlignment="1">
      <alignment horizontal="center" wrapText="1"/>
    </xf>
    <xf numFmtId="0" fontId="15" fillId="0" borderId="215" xfId="0" applyFont="1" applyBorder="1" applyAlignment="1">
      <alignment horizontal="left" vertical="center" wrapText="1"/>
    </xf>
    <xf numFmtId="0" fontId="12" fillId="13" borderId="219" xfId="0" applyFont="1" applyFill="1" applyBorder="1" applyAlignment="1">
      <alignment horizontal="left"/>
    </xf>
    <xf numFmtId="0" fontId="12" fillId="13" borderId="179" xfId="0" applyFont="1" applyFill="1" applyBorder="1" applyAlignment="1">
      <alignment horizontal="center" wrapText="1"/>
    </xf>
    <xf numFmtId="0" fontId="15" fillId="13" borderId="176" xfId="0" applyFont="1" applyFill="1" applyBorder="1" applyAlignment="1">
      <alignment horizontal="center" wrapText="1"/>
    </xf>
    <xf numFmtId="0" fontId="15" fillId="13" borderId="222" xfId="0" applyFont="1" applyFill="1" applyBorder="1" applyAlignment="1">
      <alignment horizontal="center" wrapText="1"/>
    </xf>
    <xf numFmtId="0" fontId="15" fillId="13" borderId="221" xfId="0" applyFont="1" applyFill="1" applyBorder="1" applyAlignment="1">
      <alignment horizontal="center" wrapText="1"/>
    </xf>
    <xf numFmtId="0" fontId="65" fillId="0" borderId="93" xfId="0" applyFont="1" applyBorder="1" applyAlignment="1">
      <alignment vertical="center" wrapText="1"/>
    </xf>
    <xf numFmtId="0" fontId="23" fillId="0" borderId="215" xfId="0" applyFont="1" applyBorder="1" applyAlignment="1">
      <alignment horizontal="left" vertical="center" wrapText="1"/>
    </xf>
    <xf numFmtId="0" fontId="65" fillId="0" borderId="41" xfId="0" applyFont="1" applyBorder="1" applyAlignment="1">
      <alignment vertical="center" wrapText="1"/>
    </xf>
    <xf numFmtId="0" fontId="23" fillId="0" borderId="38" xfId="0" applyFont="1" applyBorder="1" applyAlignment="1">
      <alignment horizontal="left" vertical="center" wrapText="1"/>
    </xf>
    <xf numFmtId="0" fontId="65" fillId="0" borderId="42" xfId="0" applyFont="1" applyBorder="1" applyAlignment="1">
      <alignment vertical="center" wrapText="1"/>
    </xf>
    <xf numFmtId="0" fontId="27" fillId="13" borderId="180" xfId="0" applyFont="1" applyFill="1" applyBorder="1" applyAlignment="1">
      <alignment horizontal="left" wrapText="1"/>
    </xf>
    <xf numFmtId="0" fontId="27" fillId="13" borderId="172" xfId="0" applyFont="1" applyFill="1" applyBorder="1" applyAlignment="1">
      <alignment horizontal="left" wrapText="1"/>
    </xf>
    <xf numFmtId="0" fontId="28" fillId="13" borderId="181" xfId="0" applyFont="1" applyFill="1" applyBorder="1" applyAlignment="1">
      <alignment horizontal="center" wrapText="1"/>
    </xf>
    <xf numFmtId="0" fontId="28" fillId="13" borderId="175" xfId="0" applyFont="1" applyFill="1" applyBorder="1" applyAlignment="1">
      <alignment horizontal="center" wrapText="1"/>
    </xf>
    <xf numFmtId="0" fontId="28" fillId="13" borderId="176" xfId="0" applyFont="1" applyFill="1" applyBorder="1" applyAlignment="1">
      <alignment horizontal="center" wrapText="1"/>
    </xf>
    <xf numFmtId="0" fontId="28" fillId="13" borderId="177" xfId="0" applyFont="1" applyFill="1" applyBorder="1" applyAlignment="1">
      <alignment horizontal="center" wrapText="1"/>
    </xf>
    <xf numFmtId="0" fontId="28" fillId="0" borderId="215" xfId="0" applyFont="1" applyBorder="1" applyAlignment="1">
      <alignment horizontal="left" vertical="center" wrapText="1"/>
    </xf>
    <xf numFmtId="0" fontId="28" fillId="12" borderId="182" xfId="0" applyFont="1" applyFill="1" applyBorder="1" applyAlignment="1">
      <alignment horizontal="center" wrapText="1"/>
    </xf>
    <xf numFmtId="0" fontId="28" fillId="12" borderId="183" xfId="0" applyFont="1" applyFill="1" applyBorder="1" applyAlignment="1">
      <alignment horizontal="center" wrapText="1"/>
    </xf>
    <xf numFmtId="0" fontId="28" fillId="12" borderId="185" xfId="0" applyFont="1" applyFill="1" applyBorder="1" applyAlignment="1">
      <alignment horizontal="center" wrapText="1"/>
    </xf>
    <xf numFmtId="0" fontId="31" fillId="0" borderId="215" xfId="0" applyFont="1" applyBorder="1" applyAlignment="1">
      <alignment horizontal="left" vertical="center" wrapText="1"/>
    </xf>
    <xf numFmtId="0" fontId="27" fillId="12" borderId="178" xfId="0" applyFont="1" applyFill="1" applyBorder="1" applyAlignment="1">
      <alignment horizontal="left" wrapText="1"/>
    </xf>
    <xf numFmtId="0" fontId="27" fillId="12" borderId="215" xfId="0" applyFont="1" applyFill="1" applyBorder="1" applyAlignment="1">
      <alignment horizontal="left" wrapText="1"/>
    </xf>
    <xf numFmtId="0" fontId="36" fillId="12" borderId="179" xfId="0" applyFont="1" applyFill="1" applyBorder="1" applyAlignment="1">
      <alignment horizontal="center" wrapText="1"/>
    </xf>
    <xf numFmtId="0" fontId="28" fillId="12" borderId="186" xfId="0" applyFont="1" applyFill="1" applyBorder="1" applyAlignment="1">
      <alignment horizontal="center" wrapText="1"/>
    </xf>
    <xf numFmtId="0" fontId="28" fillId="12" borderId="181" xfId="0" applyFont="1" applyFill="1" applyBorder="1" applyAlignment="1">
      <alignment horizontal="center" wrapText="1"/>
    </xf>
    <xf numFmtId="0" fontId="27" fillId="11" borderId="180" xfId="0" applyFont="1" applyFill="1" applyBorder="1" applyAlignment="1">
      <alignment horizontal="left" wrapText="1"/>
    </xf>
    <xf numFmtId="0" fontId="27" fillId="11" borderId="172" xfId="0" applyFont="1" applyFill="1" applyBorder="1" applyAlignment="1">
      <alignment horizontal="left" wrapText="1"/>
    </xf>
    <xf numFmtId="0" fontId="36" fillId="11" borderId="179" xfId="0" applyFont="1" applyFill="1" applyBorder="1" applyAlignment="1">
      <alignment horizontal="center" wrapText="1"/>
    </xf>
    <xf numFmtId="0" fontId="18" fillId="0" borderId="215" xfId="0" applyFont="1" applyBorder="1" applyAlignment="1">
      <alignment horizontal="left" vertical="center" wrapText="1"/>
    </xf>
    <xf numFmtId="0" fontId="27" fillId="12" borderId="180" xfId="0" applyFont="1" applyFill="1" applyBorder="1" applyAlignment="1">
      <alignment horizontal="left" wrapText="1"/>
    </xf>
    <xf numFmtId="0" fontId="27" fillId="12" borderId="172" xfId="0" applyFont="1" applyFill="1" applyBorder="1" applyAlignment="1">
      <alignment horizontal="left" wrapText="1"/>
    </xf>
    <xf numFmtId="0" fontId="28" fillId="11" borderId="218" xfId="0" applyFont="1" applyFill="1" applyBorder="1" applyAlignment="1">
      <alignment horizontal="center" wrapText="1"/>
    </xf>
    <xf numFmtId="0" fontId="28" fillId="11" borderId="222" xfId="0" applyFont="1" applyFill="1" applyBorder="1" applyAlignment="1">
      <alignment horizontal="center" wrapText="1"/>
    </xf>
    <xf numFmtId="0" fontId="28" fillId="11" borderId="181" xfId="0" applyFont="1" applyFill="1" applyBorder="1" applyAlignment="1">
      <alignment horizontal="center" wrapText="1"/>
    </xf>
    <xf numFmtId="0" fontId="28" fillId="11" borderId="174" xfId="0" applyFont="1" applyFill="1" applyBorder="1" applyAlignment="1">
      <alignment horizontal="center" wrapText="1"/>
    </xf>
    <xf numFmtId="0" fontId="38" fillId="0" borderId="215" xfId="0" applyFont="1" applyBorder="1" applyAlignment="1">
      <alignment horizontal="left" vertical="center" wrapText="1"/>
    </xf>
    <xf numFmtId="0" fontId="21" fillId="0" borderId="215" xfId="0" applyFont="1" applyBorder="1" applyAlignment="1">
      <alignment horizontal="left" vertical="center" wrapText="1"/>
    </xf>
    <xf numFmtId="0" fontId="29" fillId="6" borderId="174" xfId="0" applyFont="1" applyFill="1" applyBorder="1" applyAlignment="1">
      <alignment horizontal="center" wrapText="1"/>
    </xf>
    <xf numFmtId="0" fontId="0" fillId="2" borderId="193" xfId="0" applyFill="1" applyBorder="1" applyAlignment="1">
      <alignment horizontal="center"/>
    </xf>
    <xf numFmtId="0" fontId="0" fillId="2" borderId="194" xfId="0" applyFill="1" applyBorder="1" applyAlignment="1">
      <alignment horizontal="center"/>
    </xf>
    <xf numFmtId="0" fontId="6" fillId="2" borderId="199" xfId="0" applyFont="1" applyFill="1" applyBorder="1" applyAlignment="1">
      <alignment horizontal="left" vertical="top" wrapText="1"/>
    </xf>
    <xf numFmtId="0" fontId="14" fillId="3" borderId="218" xfId="0" applyFont="1" applyFill="1" applyBorder="1" applyAlignment="1">
      <alignment horizontal="center" wrapText="1"/>
    </xf>
    <xf numFmtId="0" fontId="14" fillId="3" borderId="176" xfId="0" applyFont="1" applyFill="1" applyBorder="1" applyAlignment="1">
      <alignment horizontal="center" wrapText="1"/>
    </xf>
    <xf numFmtId="0" fontId="13" fillId="3" borderId="220" xfId="0" applyFont="1" applyFill="1" applyBorder="1" applyAlignment="1">
      <alignment horizontal="center" wrapText="1"/>
    </xf>
    <xf numFmtId="0" fontId="13" fillId="3" borderId="176" xfId="0" applyFont="1" applyFill="1" applyBorder="1" applyAlignment="1">
      <alignment horizontal="center" wrapText="1"/>
    </xf>
    <xf numFmtId="0" fontId="13" fillId="3" borderId="177" xfId="0" applyFont="1" applyFill="1" applyBorder="1" applyAlignment="1">
      <alignment horizontal="center" wrapText="1"/>
    </xf>
    <xf numFmtId="0" fontId="74" fillId="0" borderId="215" xfId="0" applyFont="1" applyBorder="1" applyAlignment="1">
      <alignment horizontal="left" vertical="center" wrapText="1"/>
    </xf>
    <xf numFmtId="0" fontId="27" fillId="6" borderId="180" xfId="0" applyFont="1" applyFill="1" applyBorder="1" applyAlignment="1">
      <alignment horizontal="left"/>
    </xf>
    <xf numFmtId="0" fontId="27" fillId="6" borderId="172" xfId="0" applyFont="1" applyFill="1" applyBorder="1" applyAlignment="1">
      <alignment horizontal="left"/>
    </xf>
    <xf numFmtId="0" fontId="28" fillId="6" borderId="181" xfId="0" applyFont="1" applyFill="1" applyBorder="1" applyAlignment="1">
      <alignment horizontal="left" wrapText="1"/>
    </xf>
    <xf numFmtId="0" fontId="1" fillId="0" borderId="78" xfId="0" applyFont="1" applyBorder="1" applyAlignment="1">
      <alignment horizontal="center" vertical="center" wrapText="1"/>
    </xf>
    <xf numFmtId="0" fontId="156" fillId="0" borderId="0" xfId="0" applyFont="1" applyAlignment="1">
      <alignment vertical="center" wrapText="1"/>
    </xf>
    <xf numFmtId="0" fontId="0" fillId="0" borderId="0" xfId="0" applyAlignment="1">
      <alignment vertical="center" wrapText="1"/>
    </xf>
    <xf numFmtId="0" fontId="0" fillId="0" borderId="0" xfId="0" applyAlignment="1"/>
    <xf numFmtId="0" fontId="16" fillId="0" borderId="37" xfId="0" applyFont="1" applyBorder="1" applyAlignment="1">
      <alignment horizontal="left" vertical="center" wrapText="1"/>
    </xf>
    <xf numFmtId="0" fontId="15" fillId="0" borderId="37" xfId="0" applyFont="1" applyBorder="1" applyAlignment="1">
      <alignment horizontal="left" vertical="center" wrapText="1"/>
    </xf>
    <xf numFmtId="0" fontId="0" fillId="0" borderId="37" xfId="0" applyBorder="1" applyAlignment="1">
      <alignment horizontal="center" wrapText="1"/>
    </xf>
    <xf numFmtId="0" fontId="0" fillId="0" borderId="0" xfId="0" applyBorder="1" applyAlignment="1">
      <alignment horizontal="center" wrapText="1"/>
    </xf>
    <xf numFmtId="0" fontId="12" fillId="13" borderId="10" xfId="0" applyFont="1" applyFill="1" applyBorder="1" applyAlignment="1">
      <alignment horizontal="left" wrapText="1"/>
    </xf>
    <xf numFmtId="0" fontId="12" fillId="13" borderId="49" xfId="0" applyFont="1" applyFill="1" applyBorder="1" applyAlignment="1">
      <alignment horizontal="left" wrapText="1"/>
    </xf>
    <xf numFmtId="0" fontId="28" fillId="0" borderId="37" xfId="0" applyFont="1" applyBorder="1" applyAlignment="1">
      <alignment horizontal="left" vertical="center" wrapText="1"/>
    </xf>
    <xf numFmtId="0" fontId="28" fillId="0" borderId="77" xfId="0" applyFont="1" applyBorder="1" applyAlignment="1">
      <alignment horizontal="left" wrapText="1"/>
    </xf>
    <xf numFmtId="0" fontId="28" fillId="0" borderId="81" xfId="0" applyFont="1" applyBorder="1" applyAlignment="1">
      <alignment horizontal="left" wrapText="1"/>
    </xf>
    <xf numFmtId="0" fontId="28" fillId="0" borderId="84" xfId="0" applyFont="1" applyBorder="1" applyAlignment="1">
      <alignment horizontal="left" wrapText="1"/>
    </xf>
    <xf numFmtId="0" fontId="36" fillId="12" borderId="10" xfId="0" applyFont="1" applyFill="1" applyBorder="1" applyAlignment="1">
      <alignment horizontal="left" wrapText="1"/>
    </xf>
    <xf numFmtId="0" fontId="36" fillId="12" borderId="18" xfId="0" applyFont="1" applyFill="1" applyBorder="1" applyAlignment="1">
      <alignment horizontal="left" wrapText="1"/>
    </xf>
    <xf numFmtId="0" fontId="27" fillId="12" borderId="37" xfId="0" applyFont="1" applyFill="1" applyBorder="1" applyAlignment="1">
      <alignment horizontal="left" wrapText="1"/>
    </xf>
    <xf numFmtId="0" fontId="31" fillId="0" borderId="3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8" xfId="0" applyFont="1" applyBorder="1" applyAlignment="1"/>
    <xf numFmtId="0" fontId="28" fillId="0" borderId="26" xfId="0" applyFont="1" applyBorder="1" applyAlignment="1"/>
    <xf numFmtId="0" fontId="36" fillId="11" borderId="10" xfId="0" applyFont="1" applyFill="1" applyBorder="1" applyAlignment="1">
      <alignment horizontal="left" wrapText="1"/>
    </xf>
    <xf numFmtId="0" fontId="12" fillId="11" borderId="18" xfId="0" applyFont="1" applyFill="1" applyBorder="1" applyAlignment="1">
      <alignment horizontal="left" wrapText="1"/>
    </xf>
    <xf numFmtId="0" fontId="18" fillId="0" borderId="17" xfId="0" applyFont="1" applyBorder="1" applyAlignment="1">
      <alignment horizontal="left" vertical="center" wrapText="1"/>
    </xf>
    <xf numFmtId="0" fontId="15" fillId="0" borderId="17" xfId="0" applyFont="1" applyBorder="1" applyAlignment="1">
      <alignment horizontal="left" vertical="center" wrapText="1"/>
    </xf>
    <xf numFmtId="0" fontId="15" fillId="0" borderId="25" xfId="0" applyFont="1" applyBorder="1" applyAlignment="1">
      <alignment horizontal="left" vertical="center" wrapText="1"/>
    </xf>
    <xf numFmtId="0" fontId="18" fillId="0" borderId="37" xfId="0" applyFont="1" applyBorder="1" applyAlignment="1">
      <alignment horizontal="left" vertical="center" wrapText="1"/>
    </xf>
    <xf numFmtId="0" fontId="38" fillId="0" borderId="37" xfId="0" applyFont="1" applyBorder="1" applyAlignment="1">
      <alignment horizontal="left" vertical="center" wrapText="1"/>
    </xf>
    <xf numFmtId="0" fontId="21" fillId="0" borderId="37" xfId="0" applyFont="1" applyBorder="1" applyAlignment="1">
      <alignment horizontal="left" vertical="center" wrapText="1"/>
    </xf>
    <xf numFmtId="0" fontId="18" fillId="0" borderId="40" xfId="0" applyFont="1" applyBorder="1" applyAlignment="1">
      <alignment horizontal="left" vertical="center" wrapText="1"/>
    </xf>
    <xf numFmtId="0" fontId="18" fillId="0" borderId="23" xfId="0" applyFont="1" applyBorder="1" applyAlignment="1">
      <alignment horizontal="left" vertical="center" wrapText="1"/>
    </xf>
    <xf numFmtId="0" fontId="18" fillId="0" borderId="31" xfId="0" applyFont="1" applyBorder="1" applyAlignment="1">
      <alignment horizontal="left" vertical="center" wrapText="1"/>
    </xf>
    <xf numFmtId="0" fontId="12" fillId="2" borderId="21" xfId="0" applyFont="1" applyFill="1" applyBorder="1" applyAlignment="1">
      <alignment wrapText="1"/>
    </xf>
    <xf numFmtId="0" fontId="12" fillId="2" borderId="29" xfId="0" applyFont="1" applyFill="1" applyBorder="1" applyAlignment="1">
      <alignment wrapText="1"/>
    </xf>
    <xf numFmtId="0" fontId="28" fillId="13" borderId="237" xfId="0" applyFont="1" applyFill="1" applyBorder="1" applyAlignment="1">
      <alignment horizontal="center" wrapText="1"/>
    </xf>
    <xf numFmtId="0" fontId="28" fillId="13" borderId="238" xfId="0" applyFont="1" applyFill="1" applyBorder="1" applyAlignment="1">
      <alignment horizontal="center" wrapText="1"/>
    </xf>
    <xf numFmtId="0" fontId="12" fillId="13" borderId="236" xfId="0" applyFont="1" applyFill="1" applyBorder="1" applyAlignment="1">
      <alignment horizontal="center" wrapText="1"/>
    </xf>
    <xf numFmtId="0" fontId="15" fillId="13" borderId="237" xfId="0" applyFont="1" applyFill="1" applyBorder="1" applyAlignment="1">
      <alignment horizontal="center" wrapText="1"/>
    </xf>
    <xf numFmtId="0" fontId="27" fillId="13" borderId="240" xfId="0" applyFont="1" applyFill="1" applyBorder="1" applyAlignment="1">
      <alignment horizontal="left" wrapText="1"/>
    </xf>
    <xf numFmtId="0" fontId="27" fillId="13" borderId="203" xfId="0" applyFont="1" applyFill="1" applyBorder="1" applyAlignment="1">
      <alignment horizontal="left" wrapText="1"/>
    </xf>
    <xf numFmtId="0" fontId="28" fillId="13" borderId="241" xfId="0" applyFont="1" applyFill="1" applyBorder="1" applyAlignment="1">
      <alignment horizontal="center" wrapText="1"/>
    </xf>
    <xf numFmtId="0" fontId="0" fillId="0" borderId="132" xfId="0" applyBorder="1" applyAlignment="1">
      <alignment horizontal="center" vertical="center" wrapText="1"/>
    </xf>
    <xf numFmtId="0" fontId="0" fillId="0" borderId="134" xfId="0" applyBorder="1" applyAlignment="1">
      <alignment horizontal="center" vertical="center" wrapText="1"/>
    </xf>
    <xf numFmtId="0" fontId="0" fillId="0" borderId="142" xfId="0" applyBorder="1" applyAlignment="1">
      <alignment horizontal="center" vertical="center" wrapText="1"/>
    </xf>
    <xf numFmtId="0" fontId="27" fillId="11" borderId="240" xfId="0" applyFont="1" applyFill="1" applyBorder="1" applyAlignment="1">
      <alignment horizontal="left" wrapText="1"/>
    </xf>
    <xf numFmtId="0" fontId="28" fillId="12" borderId="242" xfId="0" applyFont="1" applyFill="1" applyBorder="1" applyAlignment="1">
      <alignment horizontal="center" wrapText="1"/>
    </xf>
    <xf numFmtId="0" fontId="28" fillId="12" borderId="243" xfId="0" applyFont="1" applyFill="1" applyBorder="1" applyAlignment="1">
      <alignment horizontal="center" wrapText="1"/>
    </xf>
    <xf numFmtId="0" fontId="28" fillId="12" borderId="245" xfId="0" applyFont="1" applyFill="1" applyBorder="1" applyAlignment="1">
      <alignment horizontal="center" wrapText="1"/>
    </xf>
    <xf numFmtId="0" fontId="27" fillId="12" borderId="231" xfId="0" applyFont="1" applyFill="1" applyBorder="1" applyAlignment="1">
      <alignment horizontal="left" wrapText="1"/>
    </xf>
    <xf numFmtId="0" fontId="36" fillId="12" borderId="236" xfId="0" applyFont="1" applyFill="1" applyBorder="1" applyAlignment="1">
      <alignment horizontal="center" wrapText="1"/>
    </xf>
    <xf numFmtId="0" fontId="28" fillId="12" borderId="246" xfId="0" applyFont="1" applyFill="1" applyBorder="1" applyAlignment="1">
      <alignment horizontal="center" wrapText="1"/>
    </xf>
    <xf numFmtId="0" fontId="36" fillId="11" borderId="236" xfId="0" applyFont="1" applyFill="1" applyBorder="1" applyAlignment="1">
      <alignment horizontal="center" wrapText="1"/>
    </xf>
    <xf numFmtId="0" fontId="28" fillId="11" borderId="241" xfId="0" applyFont="1" applyFill="1" applyBorder="1" applyAlignment="1">
      <alignment horizontal="center" wrapText="1"/>
    </xf>
    <xf numFmtId="0" fontId="27" fillId="12" borderId="240" xfId="0" applyFont="1" applyFill="1" applyBorder="1" applyAlignment="1">
      <alignment horizontal="left" wrapText="1"/>
    </xf>
    <xf numFmtId="0" fontId="28" fillId="12" borderId="241" xfId="0" applyFont="1" applyFill="1" applyBorder="1" applyAlignment="1">
      <alignment horizontal="center" wrapText="1"/>
    </xf>
    <xf numFmtId="0" fontId="27" fillId="6" borderId="240" xfId="0" applyFont="1" applyFill="1" applyBorder="1" applyAlignment="1">
      <alignment horizontal="left"/>
    </xf>
    <xf numFmtId="0" fontId="28" fillId="6" borderId="241" xfId="0" applyFont="1" applyFill="1" applyBorder="1" applyAlignment="1">
      <alignment horizontal="left" wrapText="1"/>
    </xf>
    <xf numFmtId="0" fontId="0" fillId="2" borderId="233" xfId="0" applyFill="1" applyBorder="1" applyAlignment="1">
      <alignment horizontal="center"/>
    </xf>
    <xf numFmtId="0" fontId="0" fillId="2" borderId="234" xfId="0" applyFill="1" applyBorder="1" applyAlignment="1">
      <alignment horizontal="center"/>
    </xf>
    <xf numFmtId="0" fontId="14" fillId="3" borderId="237" xfId="0" applyFont="1" applyFill="1" applyBorder="1" applyAlignment="1">
      <alignment horizontal="center" wrapText="1"/>
    </xf>
    <xf numFmtId="0" fontId="13" fillId="3" borderId="237" xfId="0" applyFont="1" applyFill="1" applyBorder="1" applyAlignment="1">
      <alignment horizontal="center" wrapText="1"/>
    </xf>
    <xf numFmtId="0" fontId="13" fillId="3" borderId="238" xfId="0" applyFont="1" applyFill="1" applyBorder="1" applyAlignment="1">
      <alignment horizontal="center" wrapText="1"/>
    </xf>
    <xf numFmtId="0" fontId="0" fillId="2" borderId="249" xfId="0" applyFill="1" applyBorder="1" applyAlignment="1">
      <alignment horizontal="center"/>
    </xf>
    <xf numFmtId="0" fontId="0" fillId="2" borderId="250" xfId="0" applyFill="1" applyBorder="1" applyAlignment="1">
      <alignment horizontal="center"/>
    </xf>
    <xf numFmtId="0" fontId="27" fillId="6" borderId="206" xfId="0" applyFont="1" applyFill="1" applyBorder="1" applyAlignment="1">
      <alignment horizontal="left"/>
    </xf>
    <xf numFmtId="0" fontId="15"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27" fillId="11" borderId="206" xfId="0" applyFont="1" applyFill="1" applyBorder="1" applyAlignment="1">
      <alignment horizontal="left" wrapText="1"/>
    </xf>
    <xf numFmtId="0" fontId="84" fillId="0" borderId="215" xfId="0" applyFont="1" applyBorder="1" applyAlignment="1">
      <alignment horizontal="left" vertical="center" wrapText="1"/>
    </xf>
    <xf numFmtId="0" fontId="84" fillId="0" borderId="38" xfId="0" applyFont="1" applyBorder="1" applyAlignment="1"/>
    <xf numFmtId="0" fontId="27" fillId="12" borderId="206" xfId="0" applyFont="1" applyFill="1" applyBorder="1" applyAlignment="1">
      <alignment horizontal="left" wrapText="1"/>
    </xf>
    <xf numFmtId="0" fontId="27" fillId="12" borderId="251" xfId="0" applyFont="1" applyFill="1" applyBorder="1" applyAlignment="1">
      <alignment horizontal="left" wrapText="1"/>
    </xf>
    <xf numFmtId="0" fontId="16" fillId="0" borderId="215" xfId="0" applyFont="1" applyBorder="1" applyAlignment="1">
      <alignment horizontal="left" vertical="center" wrapText="1"/>
    </xf>
    <xf numFmtId="0" fontId="27" fillId="13" borderId="206" xfId="0" applyFont="1" applyFill="1" applyBorder="1" applyAlignment="1">
      <alignment horizontal="left" wrapText="1"/>
    </xf>
    <xf numFmtId="0" fontId="16" fillId="0" borderId="173" xfId="0" applyFont="1" applyBorder="1" applyAlignment="1">
      <alignment horizontal="left" vertical="center" wrapText="1"/>
    </xf>
    <xf numFmtId="0" fontId="15" fillId="0" borderId="173" xfId="0" applyFont="1" applyBorder="1" applyAlignment="1">
      <alignment horizontal="left" vertic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horizontal="center"/>
    </xf>
    <xf numFmtId="0" fontId="28" fillId="0" borderId="173" xfId="0" applyFont="1" applyBorder="1" applyAlignment="1">
      <alignment horizontal="left" vertical="center" wrapText="1"/>
    </xf>
    <xf numFmtId="0" fontId="28" fillId="0" borderId="103" xfId="0" applyFont="1" applyBorder="1" applyAlignment="1">
      <alignment horizontal="left" vertical="top" wrapText="1"/>
    </xf>
    <xf numFmtId="0" fontId="0" fillId="0" borderId="93" xfId="0" applyBorder="1" applyAlignment="1">
      <alignment vertical="top" wrapText="1"/>
    </xf>
    <xf numFmtId="0" fontId="28" fillId="0" borderId="101" xfId="0" applyFont="1" applyBorder="1" applyAlignment="1">
      <alignment horizontal="left" vertical="top" wrapText="1"/>
    </xf>
    <xf numFmtId="0" fontId="0" fillId="0" borderId="41" xfId="0" applyBorder="1" applyAlignment="1">
      <alignment vertical="top" wrapText="1"/>
    </xf>
    <xf numFmtId="0" fontId="28" fillId="0" borderId="104" xfId="0" applyFont="1" applyBorder="1" applyAlignment="1">
      <alignment horizontal="left" vertical="top" wrapText="1"/>
    </xf>
    <xf numFmtId="0" fontId="0" fillId="0" borderId="42" xfId="0" applyBorder="1" applyAlignment="1">
      <alignment vertical="top" wrapText="1"/>
    </xf>
    <xf numFmtId="0" fontId="31" fillId="0" borderId="173" xfId="0" applyFont="1" applyBorder="1" applyAlignment="1">
      <alignment horizontal="left" vertical="center" wrapText="1"/>
    </xf>
    <xf numFmtId="0" fontId="27" fillId="12" borderId="173" xfId="0" applyFont="1" applyFill="1" applyBorder="1" applyAlignment="1">
      <alignment horizontal="left" wrapText="1"/>
    </xf>
    <xf numFmtId="0" fontId="18" fillId="0" borderId="173" xfId="0" applyFont="1" applyBorder="1" applyAlignment="1">
      <alignment horizontal="left" vertical="center" wrapText="1"/>
    </xf>
    <xf numFmtId="0" fontId="38" fillId="0" borderId="173" xfId="0" applyFont="1" applyBorder="1" applyAlignment="1">
      <alignment horizontal="left" vertical="center" wrapText="1"/>
    </xf>
    <xf numFmtId="0" fontId="21" fillId="0" borderId="173" xfId="0" applyFont="1" applyBorder="1" applyAlignment="1">
      <alignment horizontal="left" vertical="center" wrapText="1"/>
    </xf>
    <xf numFmtId="0" fontId="0" fillId="2" borderId="170" xfId="0" applyFill="1" applyBorder="1" applyAlignment="1">
      <alignment horizontal="center"/>
    </xf>
    <xf numFmtId="0" fontId="0" fillId="2" borderId="171" xfId="0" applyFill="1" applyBorder="1" applyAlignment="1">
      <alignment horizontal="center"/>
    </xf>
    <xf numFmtId="0" fontId="18" fillId="7" borderId="173" xfId="0" applyFont="1" applyFill="1" applyBorder="1" applyAlignment="1">
      <alignment horizontal="left" vertical="center" wrapText="1"/>
    </xf>
    <xf numFmtId="0" fontId="15" fillId="7" borderId="173" xfId="0" applyFont="1" applyFill="1" applyBorder="1" applyAlignment="1">
      <alignment horizontal="left" vertical="center" wrapText="1"/>
    </xf>
    <xf numFmtId="0" fontId="15" fillId="7" borderId="38" xfId="0" applyFont="1" applyFill="1" applyBorder="1" applyAlignment="1">
      <alignment horizontal="left" vertical="center" wrapText="1"/>
    </xf>
    <xf numFmtId="0" fontId="0" fillId="7" borderId="93" xfId="0" applyFill="1" applyBorder="1" applyAlignment="1">
      <alignment wrapText="1"/>
    </xf>
    <xf numFmtId="0" fontId="0" fillId="7" borderId="41" xfId="0" applyFill="1" applyBorder="1" applyAlignment="1">
      <alignment wrapText="1"/>
    </xf>
    <xf numFmtId="0" fontId="18" fillId="7" borderId="38" xfId="0" applyFont="1" applyFill="1" applyBorder="1" applyAlignment="1">
      <alignment horizontal="left" vertical="center" wrapText="1"/>
    </xf>
    <xf numFmtId="0" fontId="0" fillId="7" borderId="42" xfId="0" applyFill="1" applyBorder="1" applyAlignment="1">
      <alignment wrapText="1"/>
    </xf>
    <xf numFmtId="0" fontId="15" fillId="0" borderId="4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5" xfId="0" applyFont="1" applyBorder="1" applyAlignment="1">
      <alignment horizontal="center" vertical="center" wrapText="1"/>
    </xf>
    <xf numFmtId="0" fontId="31" fillId="0" borderId="78" xfId="0" applyFont="1" applyBorder="1" applyAlignment="1">
      <alignment horizontal="left" vertical="top" wrapText="1"/>
    </xf>
    <xf numFmtId="0" fontId="28" fillId="0" borderId="4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96" xfId="0" applyFont="1" applyBorder="1" applyAlignment="1">
      <alignment horizontal="center" wrapText="1"/>
    </xf>
    <xf numFmtId="0" fontId="28" fillId="0" borderId="195" xfId="0" applyFont="1" applyBorder="1" applyAlignment="1">
      <alignment horizontal="center" wrapText="1"/>
    </xf>
    <xf numFmtId="0" fontId="28" fillId="0" borderId="198" xfId="0" applyFont="1" applyBorder="1" applyAlignment="1">
      <alignment horizontal="center" wrapText="1"/>
    </xf>
    <xf numFmtId="0" fontId="0" fillId="0" borderId="78" xfId="0" applyBorder="1" applyAlignment="1">
      <alignment horizontal="center" wrapText="1"/>
    </xf>
    <xf numFmtId="0" fontId="0" fillId="0" borderId="18" xfId="0" applyBorder="1" applyAlignment="1">
      <alignment horizontal="center" wrapText="1"/>
    </xf>
    <xf numFmtId="0" fontId="0" fillId="0" borderId="26" xfId="0" applyBorder="1" applyAlignment="1">
      <alignment horizontal="center" wrapText="1"/>
    </xf>
    <xf numFmtId="0" fontId="31" fillId="0" borderId="4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5" xfId="0" applyFont="1" applyBorder="1" applyAlignment="1">
      <alignment horizontal="center" vertical="center" wrapText="1"/>
    </xf>
    <xf numFmtId="0" fontId="0" fillId="0" borderId="78"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18" fillId="0" borderId="4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38" fillId="0" borderId="4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5" xfId="0" applyFont="1" applyBorder="1" applyAlignment="1">
      <alignment horizontal="center" vertical="center" wrapText="1"/>
    </xf>
    <xf numFmtId="0" fontId="12" fillId="6" borderId="179" xfId="0" applyFont="1" applyFill="1" applyBorder="1" applyAlignment="1">
      <alignment horizontal="center" wrapText="1"/>
    </xf>
    <xf numFmtId="0" fontId="12" fillId="6" borderId="18" xfId="0" applyFont="1" applyFill="1" applyBorder="1" applyAlignment="1">
      <alignment horizontal="center" wrapText="1"/>
    </xf>
    <xf numFmtId="0" fontId="31" fillId="0" borderId="96" xfId="0" applyFont="1" applyBorder="1" applyAlignment="1">
      <alignment horizontal="left" vertical="top" wrapText="1"/>
    </xf>
    <xf numFmtId="0" fontId="31" fillId="0" borderId="195" xfId="0" applyFont="1" applyBorder="1" applyAlignment="1">
      <alignment horizontal="left" vertical="top" wrapText="1"/>
    </xf>
    <xf numFmtId="0" fontId="31" fillId="0" borderId="18" xfId="0" applyFont="1" applyBorder="1" applyAlignment="1">
      <alignment horizontal="left" vertical="top" wrapText="1"/>
    </xf>
    <xf numFmtId="0" fontId="18" fillId="0" borderId="78" xfId="0" applyFont="1" applyBorder="1" applyAlignment="1">
      <alignment horizontal="left" vertical="top" wrapText="1"/>
    </xf>
    <xf numFmtId="0" fontId="18" fillId="0" borderId="18" xfId="0" applyFont="1" applyBorder="1" applyAlignment="1">
      <alignment horizontal="left" vertical="top" wrapText="1"/>
    </xf>
    <xf numFmtId="0" fontId="18" fillId="0" borderId="26" xfId="0" applyFont="1" applyBorder="1" applyAlignment="1">
      <alignment horizontal="left" vertical="top"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39" fillId="0" borderId="0" xfId="0" applyFont="1" applyBorder="1" applyAlignment="1">
      <alignment horizontal="left" vertical="center" wrapText="1"/>
    </xf>
    <xf numFmtId="0" fontId="39" fillId="0" borderId="41" xfId="0" applyFont="1" applyBorder="1" applyAlignment="1">
      <alignment horizontal="left" vertical="center" wrapText="1"/>
    </xf>
    <xf numFmtId="0" fontId="28" fillId="0" borderId="38" xfId="0" applyFont="1" applyBorder="1" applyAlignment="1">
      <alignment horizontal="center" vertical="center" wrapText="1"/>
    </xf>
    <xf numFmtId="0" fontId="0" fillId="0" borderId="93"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120" fillId="0" borderId="100" xfId="0" applyFont="1" applyBorder="1" applyAlignment="1">
      <alignment horizontal="left" vertical="center" wrapText="1"/>
    </xf>
    <xf numFmtId="0" fontId="120" fillId="0" borderId="138" xfId="0" applyFont="1" applyBorder="1" applyAlignment="1">
      <alignment horizontal="left" vertical="center" wrapText="1"/>
    </xf>
    <xf numFmtId="0" fontId="39" fillId="0" borderId="100"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100" xfId="0" applyFont="1" applyBorder="1" applyAlignment="1">
      <alignment horizontal="left" vertical="center" wrapText="1"/>
    </xf>
    <xf numFmtId="0" fontId="39" fillId="0" borderId="38" xfId="0" applyFont="1" applyBorder="1" applyAlignment="1">
      <alignment horizontal="left" vertical="center" wrapText="1"/>
    </xf>
    <xf numFmtId="0" fontId="39" fillId="0" borderId="42" xfId="0" applyFont="1" applyBorder="1" applyAlignment="1">
      <alignment horizontal="left" vertical="center" wrapText="1"/>
    </xf>
    <xf numFmtId="0" fontId="12" fillId="13" borderId="201" xfId="0" applyFont="1" applyFill="1" applyBorder="1" applyAlignment="1">
      <alignment horizontal="center" wrapText="1"/>
    </xf>
    <xf numFmtId="0" fontId="15" fillId="13" borderId="202" xfId="0" applyFont="1" applyFill="1" applyBorder="1" applyAlignment="1">
      <alignment horizontal="center" wrapText="1"/>
    </xf>
    <xf numFmtId="0" fontId="18" fillId="0" borderId="102" xfId="0" applyFont="1" applyBorder="1" applyAlignment="1">
      <alignment horizontal="left" vertical="top" wrapText="1"/>
    </xf>
    <xf numFmtId="0" fontId="18" fillId="0" borderId="100" xfId="0" applyFont="1" applyBorder="1" applyAlignment="1">
      <alignment horizontal="left" vertical="top" wrapText="1"/>
    </xf>
    <xf numFmtId="0" fontId="18" fillId="0" borderId="38" xfId="0" applyFont="1" applyBorder="1" applyAlignment="1">
      <alignment horizontal="left" vertical="top" wrapText="1"/>
    </xf>
    <xf numFmtId="0" fontId="28" fillId="13" borderId="207" xfId="0" applyFont="1" applyFill="1" applyBorder="1" applyAlignment="1">
      <alignment horizontal="center" wrapText="1"/>
    </xf>
    <xf numFmtId="0" fontId="28" fillId="13" borderId="202" xfId="0" applyFont="1" applyFill="1" applyBorder="1" applyAlignment="1">
      <alignment horizontal="center" wrapText="1"/>
    </xf>
    <xf numFmtId="0" fontId="28" fillId="13" borderId="204" xfId="0" applyFont="1" applyFill="1" applyBorder="1" applyAlignment="1">
      <alignment horizontal="center" wrapText="1"/>
    </xf>
    <xf numFmtId="0" fontId="28" fillId="0" borderId="100" xfId="0" applyFont="1" applyBorder="1" applyAlignment="1">
      <alignment horizontal="left" vertical="top" wrapText="1"/>
    </xf>
    <xf numFmtId="0" fontId="0" fillId="0" borderId="41" xfId="0" applyBorder="1" applyAlignment="1">
      <alignment vertical="top"/>
    </xf>
    <xf numFmtId="0" fontId="28" fillId="0" borderId="38" xfId="0" applyFont="1" applyBorder="1" applyAlignment="1">
      <alignment horizontal="left" vertical="top"/>
    </xf>
    <xf numFmtId="0" fontId="0" fillId="0" borderId="42" xfId="0" applyBorder="1" applyAlignment="1">
      <alignment vertical="top"/>
    </xf>
    <xf numFmtId="0" fontId="28" fillId="12" borderId="208" xfId="0" applyFont="1" applyFill="1" applyBorder="1" applyAlignment="1">
      <alignment horizontal="center" wrapText="1"/>
    </xf>
    <xf numFmtId="0" fontId="28" fillId="12" borderId="209" xfId="0" applyFont="1" applyFill="1" applyBorder="1" applyAlignment="1">
      <alignment horizontal="center" wrapText="1"/>
    </xf>
    <xf numFmtId="0" fontId="28" fillId="12" borderId="211" xfId="0" applyFont="1" applyFill="1" applyBorder="1" applyAlignment="1">
      <alignment horizontal="center" wrapText="1"/>
    </xf>
    <xf numFmtId="0" fontId="27" fillId="12" borderId="200" xfId="0" applyFont="1" applyFill="1" applyBorder="1" applyAlignment="1">
      <alignment horizontal="left" wrapText="1"/>
    </xf>
    <xf numFmtId="0" fontId="36" fillId="12" borderId="201" xfId="0" applyFont="1" applyFill="1" applyBorder="1" applyAlignment="1">
      <alignment horizontal="center" wrapText="1"/>
    </xf>
    <xf numFmtId="0" fontId="28" fillId="12" borderId="212" xfId="0" applyFont="1" applyFill="1" applyBorder="1" applyAlignment="1">
      <alignment horizontal="center" wrapText="1"/>
    </xf>
    <xf numFmtId="0" fontId="28" fillId="12" borderId="207" xfId="0" applyFont="1" applyFill="1" applyBorder="1" applyAlignment="1">
      <alignment horizontal="center" wrapText="1"/>
    </xf>
    <xf numFmtId="0" fontId="27" fillId="11" borderId="203" xfId="0" applyFont="1" applyFill="1" applyBorder="1" applyAlignment="1">
      <alignment horizontal="left" wrapText="1"/>
    </xf>
    <xf numFmtId="0" fontId="36" fillId="11" borderId="201" xfId="0" applyFont="1" applyFill="1" applyBorder="1" applyAlignment="1">
      <alignment horizontal="center" wrapText="1"/>
    </xf>
    <xf numFmtId="0" fontId="27" fillId="12" borderId="203" xfId="0" applyFont="1" applyFill="1" applyBorder="1" applyAlignment="1">
      <alignment horizontal="left" wrapText="1"/>
    </xf>
    <xf numFmtId="0" fontId="28" fillId="11" borderId="207" xfId="0" applyFont="1" applyFill="1" applyBorder="1" applyAlignment="1">
      <alignment horizontal="center" wrapText="1"/>
    </xf>
    <xf numFmtId="0" fontId="31" fillId="0" borderId="100" xfId="0" applyFont="1" applyBorder="1" applyAlignment="1">
      <alignment horizontal="left" vertical="top" wrapText="1"/>
    </xf>
    <xf numFmtId="0" fontId="0" fillId="0" borderId="38" xfId="0" applyBorder="1" applyAlignment="1">
      <alignment vertical="top"/>
    </xf>
    <xf numFmtId="0" fontId="15" fillId="0" borderId="100" xfId="0" applyFont="1" applyBorder="1" applyAlignment="1">
      <alignment horizontal="left" vertical="top" wrapText="1"/>
    </xf>
    <xf numFmtId="0" fontId="14" fillId="3" borderId="202" xfId="0" applyFont="1" applyFill="1" applyBorder="1" applyAlignment="1">
      <alignment horizontal="center" wrapText="1"/>
    </xf>
    <xf numFmtId="0" fontId="15" fillId="0" borderId="38" xfId="0" applyFont="1" applyBorder="1" applyAlignment="1">
      <alignment horizontal="left" vertical="top" wrapText="1"/>
    </xf>
    <xf numFmtId="0" fontId="13" fillId="3" borderId="202" xfId="0" applyFont="1" applyFill="1" applyBorder="1" applyAlignment="1">
      <alignment horizontal="center" wrapText="1"/>
    </xf>
    <xf numFmtId="0" fontId="13" fillId="3" borderId="204" xfId="0" applyFont="1" applyFill="1" applyBorder="1" applyAlignment="1">
      <alignment horizontal="center" wrapText="1"/>
    </xf>
    <xf numFmtId="0" fontId="0" fillId="0" borderId="153" xfId="0" applyBorder="1" applyAlignment="1">
      <alignment vertical="top" wrapText="1"/>
    </xf>
    <xf numFmtId="0" fontId="27" fillId="6" borderId="203" xfId="0" applyFont="1" applyFill="1" applyBorder="1" applyAlignment="1">
      <alignment horizontal="left"/>
    </xf>
    <xf numFmtId="0" fontId="28" fillId="6" borderId="207" xfId="0" applyFont="1" applyFill="1" applyBorder="1" applyAlignment="1">
      <alignment horizontal="left" wrapText="1"/>
    </xf>
    <xf numFmtId="0" fontId="16" fillId="0" borderId="102" xfId="0" applyFont="1" applyBorder="1" applyAlignment="1">
      <alignment horizontal="center" vertical="center" wrapText="1"/>
    </xf>
    <xf numFmtId="0" fontId="16" fillId="0" borderId="100" xfId="0" applyFont="1" applyBorder="1" applyAlignment="1">
      <alignment horizontal="center" vertical="center" wrapText="1"/>
    </xf>
    <xf numFmtId="0" fontId="16" fillId="0" borderId="38"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37" fillId="0" borderId="102" xfId="0" applyFont="1" applyBorder="1" applyAlignment="1">
      <alignment horizontal="left" vertical="center" wrapText="1"/>
    </xf>
    <xf numFmtId="0" fontId="82" fillId="0" borderId="78" xfId="0" applyFont="1" applyBorder="1" applyAlignment="1">
      <alignment horizontal="left" vertical="center" wrapText="1"/>
    </xf>
    <xf numFmtId="0" fontId="82" fillId="0" borderId="18" xfId="0" applyFont="1" applyBorder="1" applyAlignment="1">
      <alignment horizontal="left" vertical="center" wrapText="1"/>
    </xf>
    <xf numFmtId="0" fontId="82" fillId="0" borderId="26" xfId="0" applyFont="1" applyBorder="1" applyAlignment="1">
      <alignment horizontal="left" vertical="center" wrapText="1"/>
    </xf>
    <xf numFmtId="0" fontId="0" fillId="11" borderId="12" xfId="0" applyFont="1" applyFill="1" applyBorder="1" applyAlignment="1">
      <alignment horizontal="center" wrapText="1"/>
    </xf>
    <xf numFmtId="0" fontId="0" fillId="11" borderId="57" xfId="0" applyFont="1" applyFill="1" applyBorder="1" applyAlignment="1">
      <alignment horizontal="center" wrapText="1"/>
    </xf>
    <xf numFmtId="0" fontId="0" fillId="11" borderId="123" xfId="0" applyFont="1" applyFill="1" applyBorder="1" applyAlignment="1">
      <alignment horizontal="center" wrapText="1"/>
    </xf>
    <xf numFmtId="0" fontId="0" fillId="11" borderId="50" xfId="0" applyFont="1" applyFill="1" applyBorder="1" applyAlignment="1">
      <alignment horizontal="center" wrapText="1"/>
    </xf>
    <xf numFmtId="0" fontId="34" fillId="11" borderId="122" xfId="0" applyFont="1" applyFill="1" applyBorder="1" applyAlignment="1">
      <alignment horizontal="left" wrapText="1"/>
    </xf>
    <xf numFmtId="0" fontId="34" fillId="11" borderId="17" xfId="0" applyFont="1" applyFill="1" applyBorder="1" applyAlignment="1">
      <alignment horizontal="left" wrapText="1"/>
    </xf>
    <xf numFmtId="0" fontId="13" fillId="11" borderId="119" xfId="0" applyFont="1" applyFill="1" applyBorder="1" applyAlignment="1">
      <alignment horizontal="center" wrapText="1"/>
    </xf>
    <xf numFmtId="0" fontId="13" fillId="11" borderId="18" xfId="0" applyFont="1" applyFill="1" applyBorder="1" applyAlignment="1">
      <alignment horizontal="center" wrapText="1"/>
    </xf>
    <xf numFmtId="0" fontId="0" fillId="0" borderId="93" xfId="0" applyBorder="1" applyAlignment="1">
      <alignment horizontal="left" vertical="top" wrapText="1"/>
    </xf>
    <xf numFmtId="0" fontId="55" fillId="0" borderId="18" xfId="0" applyFont="1" applyBorder="1" applyAlignment="1">
      <alignment horizontal="center" vertical="center" wrapText="1"/>
    </xf>
    <xf numFmtId="0" fontId="55" fillId="0" borderId="26" xfId="0" applyFont="1" applyBorder="1" applyAlignment="1">
      <alignment horizontal="center" vertical="center" wrapText="1"/>
    </xf>
    <xf numFmtId="0" fontId="114" fillId="0" borderId="215" xfId="0" applyFont="1" applyBorder="1" applyAlignment="1">
      <alignment horizontal="left" vertical="center" wrapText="1"/>
    </xf>
    <xf numFmtId="0" fontId="55" fillId="0" borderId="41" xfId="0" applyFont="1" applyBorder="1" applyAlignment="1"/>
    <xf numFmtId="0" fontId="114" fillId="0" borderId="38" xfId="0" applyFont="1" applyBorder="1" applyAlignment="1">
      <alignment horizontal="left"/>
    </xf>
    <xf numFmtId="0" fontId="55" fillId="0" borderId="42" xfId="0" applyFont="1" applyBorder="1" applyAlignment="1"/>
    <xf numFmtId="0" fontId="53" fillId="0" borderId="215" xfId="0" applyFont="1" applyBorder="1" applyAlignment="1">
      <alignment horizontal="left" vertical="center" wrapText="1"/>
    </xf>
    <xf numFmtId="0" fontId="0" fillId="2" borderId="227" xfId="0" applyFill="1" applyBorder="1" applyAlignment="1">
      <alignment horizontal="center"/>
    </xf>
    <xf numFmtId="0" fontId="0" fillId="2" borderId="228" xfId="0" applyFill="1" applyBorder="1" applyAlignment="1">
      <alignment horizontal="center"/>
    </xf>
    <xf numFmtId="0" fontId="27" fillId="12" borderId="229" xfId="0" applyFont="1" applyFill="1" applyBorder="1" applyAlignment="1">
      <alignment horizontal="left" wrapText="1"/>
    </xf>
    <xf numFmtId="0" fontId="177" fillId="0" borderId="102" xfId="0" applyFont="1" applyBorder="1" applyAlignment="1">
      <alignment horizontal="center" vertical="center" wrapText="1"/>
    </xf>
    <xf numFmtId="0" fontId="176" fillId="0" borderId="100" xfId="0" applyFont="1" applyBorder="1" applyAlignment="1">
      <alignment horizontal="center" vertical="center" wrapText="1"/>
    </xf>
    <xf numFmtId="0" fontId="176" fillId="0" borderId="38" xfId="0" applyFont="1" applyBorder="1" applyAlignment="1">
      <alignment horizontal="center" vertical="center" wrapText="1"/>
    </xf>
    <xf numFmtId="0" fontId="56" fillId="7" borderId="216" xfId="0" applyFont="1" applyFill="1" applyBorder="1" applyAlignment="1">
      <alignment horizontal="center"/>
    </xf>
    <xf numFmtId="0" fontId="56" fillId="7" borderId="141" xfId="0" applyFont="1" applyFill="1" applyBorder="1" applyAlignment="1">
      <alignment horizontal="center"/>
    </xf>
    <xf numFmtId="0" fontId="178" fillId="0" borderId="100" xfId="0" applyFont="1" applyBorder="1" applyAlignment="1">
      <alignment horizontal="center" vertical="center" wrapText="1"/>
    </xf>
    <xf numFmtId="0" fontId="176" fillId="0" borderId="41" xfId="0" applyFont="1" applyBorder="1" applyAlignment="1">
      <alignment horizontal="center" vertical="center" wrapText="1"/>
    </xf>
    <xf numFmtId="0" fontId="178" fillId="0" borderId="38" xfId="0" applyFont="1" applyBorder="1" applyAlignment="1">
      <alignment horizontal="center" vertical="center" wrapText="1"/>
    </xf>
    <xf numFmtId="0" fontId="176" fillId="0" borderId="42" xfId="0" applyFont="1" applyBorder="1" applyAlignment="1">
      <alignment horizontal="center" vertical="center" wrapText="1"/>
    </xf>
    <xf numFmtId="0" fontId="0" fillId="7" borderId="0" xfId="0" applyFill="1" applyBorder="1" applyAlignment="1">
      <alignment horizontal="center" wrapText="1"/>
    </xf>
    <xf numFmtId="0" fontId="176" fillId="0" borderId="100" xfId="0" applyFont="1" applyBorder="1" applyAlignment="1">
      <alignment horizontal="center"/>
    </xf>
    <xf numFmtId="0" fontId="176" fillId="0" borderId="38" xfId="0" applyFont="1" applyBorder="1" applyAlignment="1">
      <alignment horizontal="center"/>
    </xf>
    <xf numFmtId="0" fontId="0" fillId="0" borderId="93" xfId="0" applyNumberFormat="1" applyBorder="1" applyAlignment="1">
      <alignment wrapText="1"/>
    </xf>
    <xf numFmtId="0" fontId="0" fillId="0" borderId="41" xfId="0" applyNumberFormat="1" applyBorder="1" applyAlignment="1">
      <alignment wrapText="1"/>
    </xf>
    <xf numFmtId="0" fontId="0" fillId="0" borderId="42" xfId="0" applyNumberFormat="1" applyBorder="1" applyAlignment="1">
      <alignment wrapText="1"/>
    </xf>
    <xf numFmtId="0" fontId="172" fillId="0" borderId="100" xfId="0" applyFont="1" applyBorder="1" applyAlignment="1">
      <alignment horizontal="center" vertical="center" wrapText="1"/>
    </xf>
    <xf numFmtId="0" fontId="172" fillId="0" borderId="41" xfId="0" applyFont="1" applyBorder="1" applyAlignment="1">
      <alignment horizontal="center"/>
    </xf>
    <xf numFmtId="0" fontId="172" fillId="0" borderId="38" xfId="0" applyFont="1" applyBorder="1" applyAlignment="1">
      <alignment horizontal="center"/>
    </xf>
    <xf numFmtId="0" fontId="172" fillId="0" borderId="42" xfId="0" applyFont="1" applyBorder="1" applyAlignment="1">
      <alignment horizontal="center"/>
    </xf>
    <xf numFmtId="0" fontId="176" fillId="0" borderId="103" xfId="0" applyFont="1" applyBorder="1" applyAlignment="1">
      <alignment horizontal="center" wrapText="1"/>
    </xf>
    <xf numFmtId="0" fontId="176" fillId="0" borderId="93" xfId="0" applyFont="1" applyBorder="1" applyAlignment="1">
      <alignment horizontal="center" wrapText="1"/>
    </xf>
    <xf numFmtId="0" fontId="176" fillId="0" borderId="101" xfId="0" applyFont="1" applyBorder="1" applyAlignment="1">
      <alignment horizontal="center" wrapText="1"/>
    </xf>
    <xf numFmtId="0" fontId="176" fillId="0" borderId="41" xfId="0" applyFont="1" applyBorder="1" applyAlignment="1">
      <alignment horizontal="center" wrapText="1"/>
    </xf>
    <xf numFmtId="0" fontId="176" fillId="0" borderId="104" xfId="0" applyFont="1" applyBorder="1" applyAlignment="1">
      <alignment horizontal="center" wrapText="1"/>
    </xf>
    <xf numFmtId="0" fontId="176" fillId="0" borderId="42" xfId="0" applyFont="1" applyBorder="1" applyAlignment="1">
      <alignment horizontal="center" wrapText="1"/>
    </xf>
    <xf numFmtId="0" fontId="173" fillId="0" borderId="100" xfId="0" applyFont="1" applyBorder="1" applyAlignment="1">
      <alignment horizontal="center" vertical="center" wrapText="1"/>
    </xf>
    <xf numFmtId="0" fontId="0" fillId="0" borderId="100" xfId="0" applyBorder="1" applyAlignment="1">
      <alignment horizontal="center" vertical="center" wrapText="1"/>
    </xf>
    <xf numFmtId="0" fontId="0" fillId="0" borderId="38" xfId="0" applyBorder="1" applyAlignment="1">
      <alignment horizontal="center" vertical="center" wrapText="1"/>
    </xf>
    <xf numFmtId="0" fontId="175" fillId="0" borderId="100" xfId="0" applyFont="1" applyBorder="1" applyAlignment="1">
      <alignment horizontal="center" vertical="center" wrapText="1"/>
    </xf>
    <xf numFmtId="0" fontId="175" fillId="0" borderId="41" xfId="0" applyFont="1" applyBorder="1" applyAlignment="1">
      <alignment horizontal="center"/>
    </xf>
    <xf numFmtId="0" fontId="175" fillId="0" borderId="38" xfId="0" applyFont="1" applyBorder="1" applyAlignment="1">
      <alignment horizontal="center"/>
    </xf>
    <xf numFmtId="0" fontId="175" fillId="0" borderId="42" xfId="0" applyFont="1" applyBorder="1" applyAlignment="1">
      <alignment horizontal="center"/>
    </xf>
    <xf numFmtId="0" fontId="172" fillId="0" borderId="100" xfId="0" applyFont="1" applyBorder="1" applyAlignment="1">
      <alignment horizontal="center"/>
    </xf>
    <xf numFmtId="0" fontId="174" fillId="0" borderId="100" xfId="0" applyFont="1" applyBorder="1" applyAlignment="1">
      <alignment horizontal="center" vertical="center" wrapText="1"/>
    </xf>
    <xf numFmtId="0" fontId="0" fillId="0" borderId="100" xfId="0" applyBorder="1" applyAlignment="1">
      <alignment horizontal="center"/>
    </xf>
    <xf numFmtId="0" fontId="0" fillId="0" borderId="38" xfId="0"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70" fillId="0" borderId="100" xfId="0" applyFont="1" applyBorder="1" applyAlignment="1">
      <alignment horizontal="center" vertical="center" wrapText="1"/>
    </xf>
    <xf numFmtId="0" fontId="0" fillId="0" borderId="100" xfId="0" applyBorder="1" applyAlignment="1"/>
    <xf numFmtId="0" fontId="0" fillId="0" borderId="100" xfId="0" applyBorder="1" applyAlignment="1">
      <alignment horizontal="left" vertical="center" wrapText="1"/>
    </xf>
    <xf numFmtId="0" fontId="0" fillId="0" borderId="38" xfId="0" applyBorder="1" applyAlignment="1">
      <alignment horizontal="left" vertical="center" wrapText="1"/>
    </xf>
    <xf numFmtId="0" fontId="171" fillId="0" borderId="41" xfId="0" applyFont="1" applyBorder="1" applyAlignment="1">
      <alignment horizontal="center" vertical="center" wrapText="1"/>
    </xf>
    <xf numFmtId="0" fontId="170" fillId="0" borderId="38" xfId="0" applyFont="1" applyBorder="1" applyAlignment="1">
      <alignment horizontal="center" vertical="center" wrapText="1"/>
    </xf>
    <xf numFmtId="0" fontId="171" fillId="0" borderId="42" xfId="0" applyFont="1" applyBorder="1" applyAlignment="1">
      <alignment horizontal="center" vertical="center" wrapText="1"/>
    </xf>
    <xf numFmtId="0" fontId="3" fillId="0" borderId="78" xfId="0" applyFont="1" applyBorder="1" applyAlignment="1">
      <alignment horizontal="left" vertical="top" wrapText="1"/>
    </xf>
    <xf numFmtId="0" fontId="16" fillId="0" borderId="102" xfId="0" applyFont="1" applyBorder="1" applyAlignment="1">
      <alignment horizontal="left" vertical="top" wrapText="1"/>
    </xf>
    <xf numFmtId="0" fontId="16" fillId="0" borderId="100" xfId="0" applyFont="1" applyBorder="1" applyAlignment="1">
      <alignment horizontal="left" vertical="top" wrapText="1"/>
    </xf>
    <xf numFmtId="0" fontId="16" fillId="0" borderId="38" xfId="0" applyFont="1" applyBorder="1" applyAlignment="1">
      <alignment horizontal="left" vertical="top" wrapText="1"/>
    </xf>
    <xf numFmtId="0" fontId="62" fillId="0" borderId="100" xfId="0" applyFont="1" applyBorder="1" applyAlignment="1">
      <alignment horizontal="left" vertical="top" wrapText="1"/>
    </xf>
    <xf numFmtId="0" fontId="0" fillId="0" borderId="41" xfId="0" applyBorder="1" applyAlignment="1">
      <alignment horizontal="left" vertical="top"/>
    </xf>
    <xf numFmtId="0" fontId="0" fillId="0" borderId="42" xfId="0" applyBorder="1" applyAlignment="1">
      <alignment horizontal="left" vertical="top"/>
    </xf>
    <xf numFmtId="0" fontId="62" fillId="0" borderId="100" xfId="0" applyFont="1" applyBorder="1" applyAlignment="1">
      <alignment horizontal="left" vertical="top" wrapText="1" readingOrder="1"/>
    </xf>
    <xf numFmtId="0" fontId="0" fillId="0" borderId="41" xfId="0" applyBorder="1" applyAlignment="1">
      <alignment horizontal="left" vertical="top" readingOrder="1"/>
    </xf>
    <xf numFmtId="0" fontId="28" fillId="0" borderId="100" xfId="0" applyFont="1" applyBorder="1" applyAlignment="1">
      <alignment horizontal="left" vertical="top" wrapText="1" readingOrder="1"/>
    </xf>
    <xf numFmtId="0" fontId="28" fillId="0" borderId="38" xfId="0" applyFont="1" applyBorder="1" applyAlignment="1">
      <alignment horizontal="left" vertical="top" readingOrder="1"/>
    </xf>
    <xf numFmtId="0" fontId="0" fillId="0" borderId="42" xfId="0" applyBorder="1" applyAlignment="1">
      <alignment horizontal="left" vertical="top" readingOrder="1"/>
    </xf>
    <xf numFmtId="0" fontId="62" fillId="0" borderId="100" xfId="0" applyFont="1" applyBorder="1" applyAlignment="1">
      <alignment horizontal="left" vertical="center" wrapText="1"/>
    </xf>
    <xf numFmtId="0" fontId="1" fillId="0" borderId="38" xfId="0" applyFont="1" applyBorder="1" applyAlignment="1">
      <alignment horizontal="left" vertical="top" wrapText="1"/>
    </xf>
    <xf numFmtId="0" fontId="1" fillId="0" borderId="42" xfId="0" applyFont="1" applyBorder="1" applyAlignment="1">
      <alignment horizontal="left" vertical="top" wrapText="1"/>
    </xf>
    <xf numFmtId="0" fontId="21" fillId="0" borderId="38" xfId="0" applyFont="1" applyBorder="1" applyAlignment="1">
      <alignment horizontal="left" vertical="top"/>
    </xf>
    <xf numFmtId="0" fontId="11" fillId="0" borderId="0" xfId="0" applyFont="1" applyAlignment="1"/>
    <xf numFmtId="0" fontId="181" fillId="0" borderId="0" xfId="0" applyFont="1" applyAlignment="1"/>
    <xf numFmtId="0" fontId="37" fillId="0" borderId="118" xfId="0" applyFont="1" applyBorder="1" applyAlignment="1">
      <alignment horizontal="left" vertical="top" wrapText="1"/>
    </xf>
    <xf numFmtId="0" fontId="0" fillId="0" borderId="217" xfId="0" applyBorder="1" applyAlignment="1">
      <alignment horizontal="left" vertical="top" wrapText="1"/>
    </xf>
    <xf numFmtId="0" fontId="55" fillId="0" borderId="100" xfId="5" applyFont="1" applyBorder="1" applyAlignment="1">
      <alignment horizontal="left" vertical="center" wrapText="1"/>
    </xf>
    <xf numFmtId="0" fontId="55" fillId="0" borderId="41" xfId="5" applyFont="1" applyBorder="1" applyAlignment="1">
      <alignment vertical="center" wrapText="1"/>
    </xf>
    <xf numFmtId="0" fontId="55" fillId="0" borderId="38" xfId="5" applyFont="1" applyBorder="1" applyAlignment="1">
      <alignment horizontal="left" vertical="center" wrapText="1"/>
    </xf>
    <xf numFmtId="0" fontId="55" fillId="0" borderId="42" xfId="5" applyFont="1" applyBorder="1" applyAlignment="1">
      <alignment vertical="center" wrapText="1"/>
    </xf>
    <xf numFmtId="0" fontId="6" fillId="2" borderId="252" xfId="0" applyFont="1" applyFill="1" applyBorder="1" applyAlignment="1">
      <alignment horizontal="left" vertical="top" wrapText="1"/>
    </xf>
    <xf numFmtId="0" fontId="37" fillId="0" borderId="254" xfId="0" applyFont="1" applyBorder="1" applyAlignment="1">
      <alignment horizontal="left" vertical="top" wrapText="1"/>
    </xf>
    <xf numFmtId="0" fontId="15" fillId="0" borderId="254" xfId="0" applyFont="1" applyBorder="1" applyAlignment="1">
      <alignment horizontal="left" vertical="top" wrapText="1"/>
    </xf>
    <xf numFmtId="0" fontId="0" fillId="0" borderId="255" xfId="0" applyBorder="1" applyAlignment="1">
      <alignment horizontal="left" vertical="top" wrapText="1"/>
    </xf>
    <xf numFmtId="0" fontId="18" fillId="0" borderId="254" xfId="0" applyFont="1" applyBorder="1" applyAlignment="1">
      <alignment horizontal="left" vertical="center" wrapText="1"/>
    </xf>
    <xf numFmtId="0" fontId="15" fillId="0" borderId="254" xfId="0" applyFont="1" applyBorder="1" applyAlignment="1">
      <alignment horizontal="left" vertical="center" wrapText="1"/>
    </xf>
    <xf numFmtId="0" fontId="0" fillId="0" borderId="255" xfId="0" applyBorder="1" applyAlignment="1">
      <alignment vertical="center" wrapText="1"/>
    </xf>
    <xf numFmtId="0" fontId="0" fillId="0" borderId="255" xfId="0" applyBorder="1" applyAlignment="1">
      <alignment wrapText="1"/>
    </xf>
    <xf numFmtId="0" fontId="27" fillId="6" borderId="253" xfId="0" applyFont="1" applyFill="1" applyBorder="1" applyAlignment="1">
      <alignment horizontal="left"/>
    </xf>
    <xf numFmtId="0" fontId="62" fillId="0" borderId="254" xfId="0" applyFont="1" applyBorder="1" applyAlignment="1">
      <alignment horizontal="left" vertical="top" wrapText="1"/>
    </xf>
    <xf numFmtId="0" fontId="28" fillId="0" borderId="254" xfId="0" applyFont="1" applyBorder="1" applyAlignment="1">
      <alignment horizontal="left" vertical="top" wrapText="1"/>
    </xf>
    <xf numFmtId="0" fontId="0" fillId="0" borderId="255" xfId="0" applyBorder="1" applyAlignment="1"/>
    <xf numFmtId="0" fontId="21" fillId="0" borderId="254" xfId="0" applyFont="1" applyBorder="1" applyAlignment="1">
      <alignment horizontal="left" vertical="top" wrapText="1"/>
    </xf>
    <xf numFmtId="0" fontId="0" fillId="0" borderId="255" xfId="0" applyBorder="1" applyAlignment="1">
      <alignment horizontal="left" vertical="top"/>
    </xf>
    <xf numFmtId="0" fontId="27" fillId="11" borderId="253" xfId="0" applyFont="1" applyFill="1" applyBorder="1" applyAlignment="1">
      <alignment horizontal="left" wrapText="1"/>
    </xf>
    <xf numFmtId="0" fontId="31" fillId="0" borderId="254" xfId="0" applyFont="1" applyBorder="1" applyAlignment="1">
      <alignment horizontal="left" vertical="top" wrapText="1"/>
    </xf>
    <xf numFmtId="0" fontId="62" fillId="0" borderId="254" xfId="0" applyFont="1" applyBorder="1" applyAlignment="1">
      <alignment horizontal="left" vertical="top" wrapText="1" readingOrder="1"/>
    </xf>
    <xf numFmtId="0" fontId="28" fillId="0" borderId="254" xfId="0" applyFont="1" applyBorder="1" applyAlignment="1">
      <alignment horizontal="left" vertical="top" wrapText="1" readingOrder="1"/>
    </xf>
    <xf numFmtId="0" fontId="0" fillId="0" borderId="255" xfId="0" applyBorder="1" applyAlignment="1">
      <alignment horizontal="left" vertical="top" readingOrder="1"/>
    </xf>
    <xf numFmtId="0" fontId="62" fillId="0" borderId="254" xfId="0" applyFont="1" applyBorder="1" applyAlignment="1">
      <alignment horizontal="left" vertical="center" wrapText="1"/>
    </xf>
    <xf numFmtId="0" fontId="28" fillId="0" borderId="254" xfId="0" applyFont="1" applyBorder="1" applyAlignment="1">
      <alignment horizontal="left" vertical="center" wrapText="1"/>
    </xf>
    <xf numFmtId="0" fontId="31" fillId="0" borderId="254" xfId="0" applyFont="1" applyBorder="1" applyAlignment="1">
      <alignment horizontal="left" vertical="center" wrapText="1"/>
    </xf>
    <xf numFmtId="0" fontId="18" fillId="0" borderId="254" xfId="0" applyFont="1" applyBorder="1" applyAlignment="1">
      <alignment horizontal="left" vertical="top" wrapText="1"/>
    </xf>
    <xf numFmtId="0" fontId="27" fillId="12" borderId="253" xfId="0" applyFont="1" applyFill="1" applyBorder="1" applyAlignment="1">
      <alignment horizontal="left" wrapText="1"/>
    </xf>
    <xf numFmtId="0" fontId="27" fillId="12" borderId="254" xfId="0" applyFont="1" applyFill="1" applyBorder="1" applyAlignment="1">
      <alignment horizontal="left" wrapText="1"/>
    </xf>
    <xf numFmtId="0" fontId="16" fillId="0" borderId="254" xfId="0" applyFont="1" applyBorder="1" applyAlignment="1">
      <alignment horizontal="left" vertical="top" wrapText="1"/>
    </xf>
    <xf numFmtId="0" fontId="27" fillId="13" borderId="253" xfId="0" applyFont="1" applyFill="1" applyBorder="1" applyAlignment="1">
      <alignment horizontal="left" wrapText="1"/>
    </xf>
  </cellXfs>
  <cellStyles count="6">
    <cellStyle name="Dziesiętny" xfId="1" builtinId="3"/>
    <cellStyle name="Excel Built-in Normal" xfId="3"/>
    <cellStyle name="Hiperłącze" xfId="5" builtinId="8"/>
    <cellStyle name="Normalny" xfId="0" builtinId="0"/>
    <cellStyle name="Normalny 2" xfId="4"/>
    <cellStyle name="Normalny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Z/WSS%20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ZEM GZ"/>
      <sheetName val="RAZEM PB"/>
      <sheetName val="RAZEM ROW"/>
      <sheetName val="RAZEM SSO"/>
      <sheetName val="RAZEM SAR"/>
      <sheetName val="RAZEM RR"/>
      <sheetName val="RAZEM BPT"/>
      <sheetName val="RAZEM WSZYSCY 2016"/>
      <sheetName val="PO 2015 WSS"/>
      <sheetName val="WSS_razem 2015_2017"/>
      <sheetName val="WSS 2015"/>
      <sheetName val="WSS 2016"/>
      <sheetName val="WSS 2017"/>
      <sheetName val="WSS 2016_2017 stan 31.12.2017"/>
    </sheetNames>
    <sheetDataSet>
      <sheetData sheetId="0"/>
      <sheetData sheetId="1"/>
      <sheetData sheetId="2"/>
      <sheetData sheetId="3"/>
      <sheetData sheetId="4"/>
      <sheetData sheetId="5"/>
      <sheetData sheetId="6"/>
      <sheetData sheetId="7"/>
      <sheetData sheetId="8"/>
      <sheetData sheetId="9"/>
      <sheetData sheetId="10">
        <row r="17">
          <cell r="B17" t="str">
            <v>Organizacja 27 jednodniowych szkoleń dot. efektów PROW 2007-2013 oraz PROW 2014-2020, spotkanie informacyjne "Transfer wiedzy i działalność informacyjna PROW 2014-2020", impreza wystawiennicza z udziałem szkół rolniczych prowadoznych przez MRiRW w zakresie promowania PROW 2014-2020, 5 imrez targowych (Siedlce, Bednary, Częstochowa, Spała, Natura Food), spotkanie informacyne dot. PROW w ramach Krajowego Kongeru Rolnictwa RP Konferencja dla kadry zarządzającej ZSCKR z wyjazdem studyjnym, Konferencja dla dyrektorów szkół rolniczych w zakresie działań info-promo PROW, konferencja dot. prezentacji i promocji innowacyjnych rozwiązań technologicznych oraz metod produkcji, szkolenie nt rozpoznawania i monitoringu agrofagów, podsumowanie konkursu na najlepsze czasopismo wydawnicze. Spotkanie w ramach Nordycko-Baltyckiej Sieci Obszarów WIejskich.</v>
          </cell>
        </row>
        <row r="18">
          <cell r="B18"/>
          <cell r="D18"/>
          <cell r="E18">
            <v>41</v>
          </cell>
          <cell r="F18"/>
          <cell r="G18">
            <v>41</v>
          </cell>
          <cell r="H18">
            <v>7</v>
          </cell>
          <cell r="I18">
            <v>1</v>
          </cell>
          <cell r="J18">
            <v>2</v>
          </cell>
          <cell r="K18">
            <v>3</v>
          </cell>
          <cell r="L18"/>
          <cell r="M18"/>
          <cell r="N18">
            <v>1</v>
          </cell>
          <cell r="O18">
            <v>27</v>
          </cell>
        </row>
        <row r="19">
          <cell r="B19"/>
        </row>
        <row r="20">
          <cell r="B20"/>
        </row>
        <row r="21">
          <cell r="B21"/>
        </row>
        <row r="22">
          <cell r="B22"/>
        </row>
        <row r="23">
          <cell r="B23"/>
        </row>
        <row r="24">
          <cell r="B24"/>
        </row>
        <row r="28">
          <cell r="B28" t="str">
            <v>Organizacja 27 jednodniowych szkoleń dot. efektów PROW 2007-2013 oraz PROW 2014-2020 - 2700, spotkanie informacyjne "Transfer wiedzy i działalność informacyjna PROW 2014-2020" -83, impreza wystawiennicza z udziałem szkół rolniczych prowadoznych przez MRiRW w zakresie promowania PROW 2014-2020 - 51, 5 imrez targowych (Siedlce, Bednary, Częstochowa, Spała, Natura Food) - ok. 272000 odwiedzających, spotkanie informacyne dot. PROW w ramach Krajowego Kongeru Rolnictwa RP - 164 Konferencja dla kadry zarządzającej ZSCKR z wyjazdem studyjnym (1 dla 57 osób), Konferencja dla dyrektorów szkół rolniczych w zakresie działań info-promo PROW (1 dla 66 osób), konferencja dot. prezentacji i promocji innowacyjnych rozwiązań technologicznych oraz metod produkcji (1 dla 150 osób), szkolenie nt rozpoznawania i monitoringu agrofagów (88 osób), podsumowanie konkursu na nalepsze czasopismo wydawnicze (1 dla 35 osób).Spotkanie w ramach Nordycko-Baltyckiej Sieci Obszarów WIejskich.</v>
          </cell>
        </row>
        <row r="29">
          <cell r="B29"/>
          <cell r="D29"/>
          <cell r="E29">
            <v>275420</v>
          </cell>
          <cell r="F29"/>
          <cell r="G29">
            <v>275420</v>
          </cell>
        </row>
        <row r="30">
          <cell r="B30"/>
        </row>
        <row r="31">
          <cell r="B31"/>
        </row>
        <row r="32">
          <cell r="B32"/>
        </row>
        <row r="33">
          <cell r="B33"/>
        </row>
        <row r="34">
          <cell r="B34"/>
        </row>
        <row r="35">
          <cell r="B35"/>
        </row>
        <row r="40">
          <cell r="B40"/>
        </row>
        <row r="41">
          <cell r="B41"/>
          <cell r="D41"/>
          <cell r="E41"/>
        </row>
        <row r="42">
          <cell r="B42"/>
        </row>
        <row r="43">
          <cell r="B43"/>
        </row>
        <row r="44">
          <cell r="B44"/>
        </row>
        <row r="45">
          <cell r="B45"/>
        </row>
        <row r="46">
          <cell r="B46"/>
        </row>
        <row r="47">
          <cell r="B47"/>
        </row>
        <row r="52">
          <cell r="D52"/>
          <cell r="E52"/>
          <cell r="F52"/>
          <cell r="G52"/>
          <cell r="H52"/>
          <cell r="I52"/>
          <cell r="J52"/>
          <cell r="K52"/>
        </row>
        <row r="62">
          <cell r="B62" t="str">
            <v>1. Zamieszczenie w Kalendarzu Rolników na 2016 rok materiału informacyjno-promocyjnego MRiRW dotyczącego efektów realizacji PROW 2007-2013 ora PROW 2014-2020 -nakład 300 000
2. Zamieszczenie w wydaniu okolicznościowym "Gazety targowej", materiału informacyjno-promocyjnego MRiRW dotyczącego efektów realizacji PROW 2017-2013 oraz PROW 2014-2020 - nakład 3 000
3. Wykonanie kalendarzy  w ilości 2000 szt.
4. Publikacja 10 artykułów</v>
          </cell>
        </row>
        <row r="63">
          <cell r="B63"/>
          <cell r="D63">
            <v>13</v>
          </cell>
          <cell r="E63"/>
          <cell r="F63"/>
          <cell r="G63"/>
          <cell r="H63"/>
          <cell r="I63"/>
          <cell r="J63"/>
          <cell r="K63"/>
          <cell r="L63">
            <v>13</v>
          </cell>
        </row>
        <row r="64">
          <cell r="B64"/>
        </row>
        <row r="65">
          <cell r="B65"/>
        </row>
        <row r="66">
          <cell r="B66"/>
        </row>
        <row r="67">
          <cell r="B67"/>
        </row>
        <row r="68">
          <cell r="B68"/>
        </row>
        <row r="69">
          <cell r="B69"/>
        </row>
        <row r="72">
          <cell r="B72" t="str">
            <v>1. Produkcja i emisja audycji na antenie Programu Pierwszego Polskiego Radia, dotycząca efektów realizacji PROW 2007-2013 oraz prezentujących PROW 2014-2020 oraz umieszczanie audycji w wersji dźwiękowej na portalu - 18 audycji i strona internetowa
2. Produkcja i emisja magazynu rolniczego pt. "Magazyn Wielkopolskich Rolników" prezentującego efekty realizacji PROW 2007-2013 oraz nowy okres programowania -PROW 2014020 na antenie Radia Merkury - 30 audycji i strona internetowa 
3. Produkcja i emisja  programów radiowych pt. "Radiowe Dożynki 2015, czyli nowe perspektywy dla rolnictwa wschodniej Polski w ramach nowej perspektywy finansowej i działania PROW 2014-2020, prezentujących efekty realizacji PROW 2007-2013 oraz nowy okres oprogramowania na antenie Katolickiego Radia Podlasie - 8 audycji i strona internetowa
4. Emisja watków na temat efektów realizacji PROW 2007-2013 oraz 2014-2020 w programie "Dzień dobry w sobote" - 6 audycji.
5. Kampania informacyjno-edukacyjna na temat PROW 2014-2020 oraz efektów realizacji PROW 2007-2013 w audycji "Wielki test o zywności. Polska Smakuje"</v>
          </cell>
        </row>
        <row r="73">
          <cell r="B73"/>
          <cell r="D73">
            <v>63</v>
          </cell>
          <cell r="E73"/>
          <cell r="F73">
            <v>3</v>
          </cell>
          <cell r="G73">
            <v>66</v>
          </cell>
          <cell r="H73"/>
          <cell r="I73"/>
          <cell r="J73"/>
          <cell r="K73"/>
          <cell r="L73"/>
          <cell r="M73"/>
          <cell r="N73"/>
          <cell r="O73">
            <v>66</v>
          </cell>
        </row>
        <row r="74">
          <cell r="B74"/>
        </row>
        <row r="75">
          <cell r="B75"/>
        </row>
        <row r="76">
          <cell r="B76"/>
        </row>
        <row r="77">
          <cell r="B77"/>
        </row>
        <row r="78">
          <cell r="B78"/>
        </row>
        <row r="79">
          <cell r="B79"/>
        </row>
        <row r="85">
          <cell r="B85"/>
        </row>
        <row r="86">
          <cell r="B86"/>
          <cell r="D86"/>
          <cell r="E86"/>
          <cell r="F86"/>
          <cell r="G86"/>
          <cell r="H86"/>
          <cell r="I86"/>
          <cell r="J86"/>
          <cell r="K86"/>
        </row>
        <row r="87">
          <cell r="B87"/>
        </row>
        <row r="88">
          <cell r="B88"/>
        </row>
        <row r="89">
          <cell r="B89"/>
        </row>
        <row r="90">
          <cell r="B90"/>
        </row>
        <row r="91">
          <cell r="B91"/>
        </row>
        <row r="92">
          <cell r="B92"/>
        </row>
        <row r="98">
          <cell r="B98"/>
        </row>
        <row r="99">
          <cell r="B99"/>
          <cell r="D99"/>
          <cell r="E99"/>
          <cell r="F99"/>
          <cell r="G99"/>
          <cell r="H99"/>
          <cell r="I99"/>
          <cell r="J99"/>
          <cell r="K99"/>
          <cell r="L99"/>
          <cell r="M99"/>
        </row>
        <row r="100">
          <cell r="B100"/>
        </row>
        <row r="101">
          <cell r="B101"/>
        </row>
        <row r="102">
          <cell r="B102"/>
        </row>
        <row r="103">
          <cell r="B103"/>
        </row>
        <row r="104">
          <cell r="B104"/>
        </row>
        <row r="105">
          <cell r="B105"/>
        </row>
        <row r="109">
          <cell r="B109"/>
        </row>
        <row r="110">
          <cell r="B110"/>
          <cell r="D110"/>
          <cell r="E110"/>
          <cell r="F110"/>
          <cell r="G110"/>
          <cell r="H110"/>
          <cell r="I110"/>
          <cell r="J110"/>
          <cell r="K110"/>
          <cell r="L110"/>
        </row>
        <row r="111">
          <cell r="B111"/>
        </row>
        <row r="112">
          <cell r="B112"/>
        </row>
        <row r="113">
          <cell r="B113"/>
        </row>
        <row r="114">
          <cell r="B114"/>
        </row>
        <row r="115">
          <cell r="B115"/>
        </row>
        <row r="116">
          <cell r="B116"/>
        </row>
        <row r="120">
          <cell r="B120"/>
        </row>
        <row r="121">
          <cell r="B121"/>
          <cell r="D121"/>
          <cell r="E121"/>
          <cell r="F121"/>
          <cell r="G121"/>
          <cell r="H121"/>
          <cell r="I121"/>
          <cell r="J121"/>
          <cell r="K121"/>
          <cell r="L121"/>
        </row>
        <row r="122">
          <cell r="B122"/>
        </row>
        <row r="123">
          <cell r="B123"/>
        </row>
        <row r="124">
          <cell r="B124"/>
        </row>
        <row r="125">
          <cell r="B125"/>
        </row>
        <row r="126">
          <cell r="B126"/>
        </row>
        <row r="127">
          <cell r="B127"/>
        </row>
        <row r="144">
          <cell r="B144" t="str">
            <v>Wystąpiła trudnośc podczas przyporządkowywania spotkań/konferencji do poszczególnych rodzajów inicjatyw, ze względu na fakt, iż niektóre programy  spotkań/konferencji dotyczyły więcej niż jednego obszaru , tzw. spotkania łączone. Natomiast w części tabeli wg głównego organizatora jest zbyt mało możliwości wyboru, gdyż głównym organizatorem jest podmiot inny niż wskazany w tej tabeli, np. Parlament Europejski we współpracy z KE i ENRD (ENRD nie była głównym organizatorem), KE we współpracy z ENRD. Jednocześnie niektóre wyjazdy były finansowane z innych środkow niż w ramach funkcjonowania sieci, co utrudnia identyfikację aktywnego udziału przedstawiciela podmiotu, który delegował daną osobę na spotkanie.</v>
          </cell>
        </row>
        <row r="145">
          <cell r="B145"/>
          <cell r="D145">
            <v>1</v>
          </cell>
          <cell r="E145">
            <v>2</v>
          </cell>
          <cell r="F145">
            <v>3</v>
          </cell>
          <cell r="G145">
            <v>3</v>
          </cell>
          <cell r="H145">
            <v>2</v>
          </cell>
          <cell r="I145">
            <v>9</v>
          </cell>
          <cell r="J145">
            <v>4</v>
          </cell>
          <cell r="K145">
            <v>1</v>
          </cell>
          <cell r="L145"/>
          <cell r="M145"/>
          <cell r="N145"/>
        </row>
        <row r="146">
          <cell r="B146"/>
        </row>
        <row r="147">
          <cell r="B147"/>
        </row>
        <row r="148">
          <cell r="B148"/>
        </row>
        <row r="149">
          <cell r="B149"/>
        </row>
        <row r="150">
          <cell r="B150"/>
        </row>
        <row r="151">
          <cell r="B151"/>
        </row>
        <row r="155">
          <cell r="B155"/>
        </row>
        <row r="156">
          <cell r="B156"/>
          <cell r="D156"/>
          <cell r="E156"/>
          <cell r="F156"/>
          <cell r="G156">
            <v>0</v>
          </cell>
          <cell r="H156"/>
          <cell r="I156"/>
          <cell r="J156"/>
        </row>
        <row r="157">
          <cell r="B157"/>
        </row>
        <row r="158">
          <cell r="B158"/>
        </row>
        <row r="159">
          <cell r="B159"/>
        </row>
        <row r="160">
          <cell r="B160"/>
        </row>
        <row r="161">
          <cell r="B161"/>
        </row>
        <row r="162">
          <cell r="B162"/>
        </row>
        <row r="165">
          <cell r="B165"/>
        </row>
        <row r="166">
          <cell r="B166"/>
          <cell r="D166"/>
          <cell r="E166"/>
          <cell r="F166"/>
          <cell r="G166"/>
          <cell r="H166"/>
          <cell r="I166"/>
          <cell r="J166">
            <v>0</v>
          </cell>
          <cell r="K166">
            <v>0</v>
          </cell>
        </row>
        <row r="167">
          <cell r="B167"/>
        </row>
        <row r="168">
          <cell r="B168"/>
        </row>
        <row r="169">
          <cell r="B169"/>
        </row>
        <row r="170">
          <cell r="B170"/>
        </row>
        <row r="171">
          <cell r="B171"/>
        </row>
        <row r="172">
          <cell r="B172"/>
        </row>
        <row r="178">
          <cell r="B178"/>
        </row>
        <row r="179">
          <cell r="B179"/>
          <cell r="D179"/>
          <cell r="E179">
            <v>1</v>
          </cell>
          <cell r="F179"/>
          <cell r="G179">
            <v>1</v>
          </cell>
          <cell r="H179">
            <v>3</v>
          </cell>
          <cell r="I179"/>
          <cell r="J179">
            <v>1</v>
          </cell>
          <cell r="K179"/>
          <cell r="L179"/>
          <cell r="M179"/>
          <cell r="N179"/>
          <cell r="O179"/>
        </row>
        <row r="180">
          <cell r="B180"/>
        </row>
        <row r="181">
          <cell r="B181"/>
        </row>
        <row r="182">
          <cell r="B182"/>
        </row>
        <row r="183">
          <cell r="B183"/>
        </row>
        <row r="184">
          <cell r="B184"/>
        </row>
        <row r="185">
          <cell r="B185"/>
        </row>
        <row r="189">
          <cell r="B189"/>
        </row>
        <row r="190">
          <cell r="B190"/>
          <cell r="D190"/>
          <cell r="E190">
            <v>29</v>
          </cell>
          <cell r="F190"/>
          <cell r="G190">
            <v>29</v>
          </cell>
          <cell r="H190">
            <v>29</v>
          </cell>
          <cell r="I190"/>
          <cell r="J190"/>
          <cell r="K190"/>
          <cell r="L190"/>
        </row>
        <row r="191">
          <cell r="B191"/>
        </row>
        <row r="192">
          <cell r="B192"/>
        </row>
        <row r="193">
          <cell r="B193"/>
        </row>
        <row r="194">
          <cell r="B194"/>
        </row>
        <row r="195">
          <cell r="B195"/>
        </row>
        <row r="196">
          <cell r="B196"/>
        </row>
        <row r="202">
          <cell r="B202"/>
        </row>
        <row r="203">
          <cell r="B203"/>
          <cell r="D203"/>
          <cell r="E203"/>
          <cell r="F203"/>
          <cell r="G203"/>
          <cell r="H203"/>
          <cell r="I203"/>
          <cell r="J203">
            <v>1</v>
          </cell>
          <cell r="K203">
            <v>29</v>
          </cell>
          <cell r="L203"/>
        </row>
        <row r="204">
          <cell r="B204"/>
        </row>
        <row r="205">
          <cell r="B205"/>
        </row>
        <row r="206">
          <cell r="B206"/>
        </row>
        <row r="207">
          <cell r="B207"/>
        </row>
        <row r="208">
          <cell r="B208"/>
        </row>
        <row r="209">
          <cell r="B209"/>
        </row>
        <row r="213">
          <cell r="B213" t="str">
            <v>W powyższych tabelach nie uwzględniono kosztów delegacji w kwocie 27363,92 zł.
W ramach kosztów funkcjonowania wliczono koszty delegacji krajowych, zagranicznych, szkoleń, kursów językowych, wynagrodzeń osobowych, bezosobowych, tłumaczeń, materiałów, usług teleinformatycznyc,h eksploatacyjnych przypadających na pracowników zaangażowanych w realizację zadań w ramach KSOW.</v>
          </cell>
        </row>
        <row r="214">
          <cell r="B214"/>
        </row>
        <row r="215">
          <cell r="B215"/>
        </row>
        <row r="216">
          <cell r="B216"/>
        </row>
        <row r="217">
          <cell r="B217"/>
        </row>
        <row r="218">
          <cell r="B218"/>
        </row>
        <row r="219">
          <cell r="B219"/>
        </row>
      </sheetData>
      <sheetData sheetId="11"/>
      <sheetData sheetId="12"/>
      <sheetData sheetId="13">
        <row r="17">
          <cell r="A17" t="str">
            <v>Obszar tematyczny: Promocja zrównoważonego rozwoju obszarów wiejskich (operacja: Organizacja XL oraz XLI Ogólnopolskiego Konkursu Jakości Prac Scaleniowych promującego doświadczenia i najlepsze stosowane praktyki)  Spotkanie dotyczące doświadczeń europejskich we wdrażaniu podejścia Leader i RLKS w dniu 09.06.2016 r. dwa wydarzenia - "Transfer wiedzy i działalność informacyjna" (spotkanie z nauczycielami szkół rolniczych MRiRW oraz spotkanie podczas Sierpeckich Dni Rolnika w Studzieńcu).
Spotkanie podczas Sierpeckich Dni Rolnika w Studzieńcu miało charakter regionalny.
Spotkanie z nauczycielami ze szkół prowadzonych przez MRiRW miało charakter ogólnopolski. 6 wydarzeń:
1) Konferencja dla dyrektorów szkół rolniczych prowadzonych przez MRiRW oraz dyrektora KCER dot. PROW 2014-2020;
2) Olimpiady Wierdzy i Umiejętności dla uczniów szkół ponadgimnazjalnych. (2 olimpiady: Olimpiada Wiedzy o Żźywieniu i Żywności i Olimpiada Wiedzy i Umiętności Rolniczych)
3) projekt o zasięgu międzynarodowym - VIII Miedzynarodowe Targi Turytyki Wiejskiej i Agroturytyki AGROTRAVEL (8-10 kwietnia 2016 r.), w tym Międzynarodowy panel dyskusyjny w ramach Forum Turystyki Wiejskiej i Agroturystyki pt.: Miejsce turystyki wiejskiej w nowoczesnej gospodarce. (zakres tematyczny mieszany)
4) Wizyta studyjna AGROTRIP (priorytet 6 i 8 - Promowanie włączenia społecznego, zmniejszenia ubóstwa oraz rozwoju gospodarczego na obszarach wiejskich
Promowanie efektywnego gospodarowania zasobami i wspieranie przechodzenia w sektorach rolnym, spożywczym i leśnym na gospodarkę niskoemisyjną i odporną na zmianę klimatu.)
5) Stoisko "Odpoczywaj na wsi" (priorytet 6 i 8 - jak wyżej) 1. Konkurs "Sposób na sukces" 2. Konkurs na najlepsze wydawnictwo ODR cztery spotkania łącznie, w tym: (1)  jedno spotkanie dla działania  organizacja spotkań informacyjnych dla kadry kierowniczej instytutów naukowo-badawczych podległych Ministrowi Rolnictwa i Rozwoju Wsi ; (2) trzy spotkania dla działania -Organizacja cyklu wizyt doradców rolniczych w instytutach naukowo-badawczych Targi AgroPark w Lublinie, targi Agrotech w Kielcach, Regionalna Wystawa Zwierząt Hodowlanych w Szepietowie, targi Agrotech w Minikowie, Krajowa Wystawa Rolnicza oraz Dożynki Jasnogórskie w Częstochowie, Dni z Doradztwem Rolniczym w Siedlcach, Dożynki Prezydenckie w Spale, targi AGROSHOW w Bednarach. projekt o zasięgu miedzynarodowym - Targi Grune Woche w Berlinie, projekt o zasięgu miedzynarodowym - Targi BioFach w Norymberdze, Targi Natura Food w Łodzi, Finał V edycji ogólnopolskiego konkursu dla szkół gastronomicznych Krajowy Kongres Rolnictwa Rzeczypospolitej Polskiej1) Upowszechnianie wiedzy w zakresie systemów jakości zywności (konferencja i konkurs)
2) Z pola do Garnka - współpraca rolników ekologicznych w skracaniu łańcucha dostaw (szkolenia, wyjazdy studyjne)
3) Zespół ekspertów na rzecz wymogów ochrony środowiska i zmian klimatu (szkolenia)
4) Kierunek rozwój (konferencja)
5) Ekolider.pl LGD dla zrównoważonego rozwoju. Środowisko, klimat, ekoinnowacje w operacjach RLKS (konkurs 1, szkolenie 10, wyjazd studyjny 3)
6) Wyjazd studyjny do Portugalii w celu wymiany wiedzy z zakresu klęsk żywiołowych ze szczególnym uwzględnieniem suszy
7) Międzynarodowe warsztaty nt. ubustwa i wykluczenia na wsi (szkolenie, wyjazd studyjny)
8) Rolniczy Handel Detalicxzny ważnym elementem zrównoważonego rozwoju obszarów wiejskich (4 konferencje)
9) Zrównoważony rozwój regionu w oparciu o certyfikowane produkty tradycyjne (wyjazd studyjny, konferencja)
10) Puls wsi, czyli partycypacja umacnia lokalną synergię wsi (seminarium-3, konferencja-1)
11) Wyjazd studyjny-od bacówki do fabryki, dobre praktyki (wyjazd studyjny)
12) Sieci współpracy w turystyce wiejskiej - stan obecny i nowe wyzwania (konferencja) 
13) Zwiększenie efektywności doradztwa we wspieraniu innowacyjności w rolnictwie (konferencja)
14) Komercjalizacja działalności LGD formą budowy potencjału organizacyjnego (szkolenie)
15) Gospodarstwa opikuńcze - rozwijanie usług społecznych na obszarach wiejskich (szkolenia 16)
16) Przyróćmy Wisłę mieszkańcom obszarów wiejskich (szkolenie -4, wyjazd studyjny -4)
17) WPR po 2020 r.  (konferencje -4)
18) Upowszechnianie dobrych praktyk w farmerskiej produkcji sera (seminaria-13 dla PLW oraz dla doradców rolniczych, producentów, LGD, przedstawicieli organizacji pozarządowych)
1) 2 Jednodniowe konferencje nt. rezultatów realizacji PROW 2014-2020 z uwzględnieniem doświadczeń z perspektywy 2007-2013 oraz punkt informacyjny/doradczy (DROW)
2) "Transfer wiedzy i działalność informacyjna" (2 spotkania Spotkania podczas Sierpeckich Dni Rolnika w Studzieńcu miały charakter regionalny. Spotkania z nauczycielami ze szkół prowadzonych przez Ministra Rolnictwa i Rozwoju Wsi miały charakter krajowy). (SSO)
3) Organizacja konkursów promujących i informujących o PROW 2014-2020 (konkurs Sposób na sukces oraz na najlepsze wydwnictwo ODR) (SAR)
RR
 Targi AgroPark w Lublinie, Międzynarodowe Targi Techniki Rolniczej AGROTECH w Kielcach, Regionalna Wystawa Zwierząt Hodowlanych w Szepietowie, XXVI Krajowa Wystawa Rolnicza oraz Ogólnopolskie Dożynki Jasnogórskie w Częstochowie, Dożynki Prezydenckie w Spale,  XL Międzynarodowe Targi Rolno-Przemysłowe AGRO-TECH połączone z Regionalną Wystawą Zwierząt Hodowlanych w Minikowie, XXIV Regionalna Wystawa Zwierząt Hodowlanych i Dni z Doradztwem Rolniczym w Szepietowie, Międzynarodowa Wystawy Rolniczej AGRO SHOW w Bednarach, XXIX Międzynarodowe Dni z Doradztwem Rolniczym połączone z XIII Regionalną Wystawą Zwierząt Hodowlanych w Siedlcach.
Seminaria/szkolenia/spotkania/konferencje informacyjne nt.  Systemu Chronionych Nazw Pochodzenia, Chronionych Oznaczeń Geograficznych oraz Gwarantowanych Tradycyjnych Specjalności w celu przedstawienia działań wspierających ten sektor w ramach PROW 2014-2020DGZ
1. Obszar tematyczny: Promocja zrównoważonego rozwoju Obszarów Wiejskich  (operacja: XLI Ogólnopolskiego Konkursu Jakości Prac Scaleniowych promujacego doświadczenia i najlepsze stosowane praktyki)
SSO
1) "Olimpiada Wiedzy i Umiejętności Rolniczych" (zakup nagród rzeczowych dla laureatów);
2) "Olimpiada Wiedzy o Żywieniu i Żywności" (zakup nagród rzeczowych dla laureatów);
3)  Cykl konferencji dla dyrektorów szkół rolniczych prowadzonych przez Ministra Rolnictwa i Rozwoju Wsi dot. RPOW 2014-2020 ( 2 konferencje)
4) 8 seminariów pod nazwą: Integracja środowiska turystyki wiejskiej i agroturystyki z przedstawicielami branży turystycznej (priotytet 5 i 6);
5) organizacja stoiska "Odpoczywaj na wsi" na 8 imprezach targowo-plenerowych (priotytet 5 i 6)
6) organizacja stoiska "Odpoczywaj na wsi" na targach ITB w Berlinie  (piorytet 6 z naciskiem na promowanie rozwoju gospodarczego na obszarach wiejskich)
7) Liderki społeczności wiejskiej w procesach rozwoju lokalnego - (40 jednodniowych szkoleń)
SAR
1) 1 seminarium dla kadry zarządzajacej instytutów badawczych i jednostek doradztwa rolniczego, 
2) 2 wizyty doradców rolniczych w instytutach naukowo-badawczych, 
3) 2 spotkania informacyjne dla kadry zarządzajacej jednostkami doradztwa rolniczego
RR
4 wydarzenia: 
- Targi Grune Woche w Berlinie;
- Targi BioFch w Norymberdze;
-Targi Natura Food w Łodzi;
- Finał VI edycji ogólnopolskiego konkursu dla szkół gastronomicznych
Obszar tematyczny : Seminarium podsumowujące ZXL Ogólnopolski Konkurs Jakości Prac Scaleniowych</v>
          </cell>
          <cell r="B17"/>
        </row>
        <row r="18">
          <cell r="A18"/>
          <cell r="B18"/>
        </row>
        <row r="19">
          <cell r="A19"/>
          <cell r="B19"/>
        </row>
        <row r="20">
          <cell r="A20"/>
          <cell r="B20"/>
        </row>
        <row r="21">
          <cell r="A21"/>
          <cell r="B21"/>
        </row>
        <row r="22">
          <cell r="A22"/>
          <cell r="B22"/>
        </row>
        <row r="23">
          <cell r="A23"/>
          <cell r="B23"/>
        </row>
        <row r="24">
          <cell r="A24"/>
          <cell r="B24"/>
        </row>
        <row r="28">
          <cell r="A28" t="str">
            <v>Obszar tematyczny: Promocja zrównoważonego rozwoju obszarów wiejskich (operacja: Organizacja XL oraz XLI Ogólnopolskiego Konkursu Jakości Prac Scaleniowych promującego doświadczenia i najlepsze stosowane praktyki)  - 78 osób  Spotkanie dotyczące doświadczeń europejskich we wdrażaniu podejścia Leader i RLKS w dniu 09.06.2016 r. - 40 osób dwa wydarzenia - "Transfer wiedzy i działalność informacyjna" (spotkanie z nauczycielami szkół rolniczych MRiRW oraz spotkanie podczas Sierpeckich Dni Rolnika w Studzieńcu).
Spotkanie podczas Sierpeckich Dni Rolnika w Studzieńcu miało charakter regionalny- 200 osób.
Spotkanie z nauczycielami ze szkół prowadzonych przez MRiRW miało charakter ogólnopolski - 100 osób. 5 wydarzeń:
1) Konferencja dla dyrektorów szkół rolniczych prowadzonych przez MRiRW oraz dyrektora KCER dot. PROW 2014-2020 - 68 osób;
2) Olimpiady Wierdzy i Umiejętności dla uczniów szkół ponadgimnazjalnych. (2 olimpiady: Olimpiada Wiedzy o Żźywieniu i Żywności i Olimpiada Wiedzy i Umiętności Rolniczych) - 65 osób
3) projekt o zasięgu międzynarodowym - VIII Miedzynarodowe Targi Turytyki Wiejskiej i Agroturytyki AGROTRAVEL (8-10 kwietnia 2016 r.), w tym Międzynarodowy panel dyskusyjny w ramach Forum Turystyki Wiejskiej i Agroturystyki pt.: Miejsce turystyki wiejskiej w nowoczesnej gospodarce. (priorytet 6) - 20000 uczestników
4) Wizyta studyjna AGROTRIP (priorytet 6) - 21 osób
5) Stoisko "Odpoczywaj na wsi" (priorytet 6 i 8 - jak wyżej) - 5000 odwiedzających 1. Konkurs "Sposób na sukces" 2. Konkurs na najlepsze wydawnictwo ODR (razem 166 osób) działanie : (1) organizacja spotkań informacyjnych dla kadry kierowniczej instytutów naukowo-badawczych podległych Ministrowi Rolnictwa i Rozwoju Wsi - liczba uczestników 90 osób ; (2) Organizacja cyklu wizyt doradców rolniczych w instytutach naukowo-badawczych łaczna liczba uczestników 177 Dane ze stron targowych lub informacja od organizatora targów, liczba oób odiwedzjących targi: targi AgroPark w Lublinie 22.104;  Targi Agrotech w Kielcach 64.330;  Wystawa Zwierząt Hodowlanych w Szepietowie 100.000;  targi Agrotech w Minikowie 35.000; Krajowa Wystawa Rolnicza oraz Dożynki Jasnogórskie w Częstochowie 80.000;  Dni z Doradztwem Rolniczym w Siedlcach 100.000; Dożynki Prezydenckie 15.000; targi AGROSHOW  w Bednarach 140.000. Dane ze stron targowych, liczba osób odwiedzających targi: projekt o zasięgu miedzynarodowym- Grune Woche w Berlinie  380.000;  projekt o zasięgu miedzynarodowym- BioFach 48.533;  Natura Food 12.000; liczba uczestników finału 12052 edycji ogólnoplskiego konkursu dla szkół gastronomicznych 52 osoby. Krajowy Kongres Rolnictwa Rzeczypospolitej Polskiej - 73 osoby1) Upowszechnianie wiedzy w zakresie systemów jakości zywności (konferencja i konkurs)
2) Z pola do Garnka - współpraca rolników ekologicznych w skracaniu łańcucha dostaw (szkolenia, wyjazdy studyjne)
3) Zespół ekspertów na rzecz wymogów ochrony środowiska i zmian klimatu (szkolenia)
4) Kierunek rozwój (konferencja)
5) Ekolider.pl LGD dla zrównoważonego rozwoju. Środowisko, klimat, ekoinnowacje w operacjach RLKS (konkurs 1, szkolenie 10, wyjazd studyjny 3)
6) Wyjazd studyjny do Portugalii w celu wymiany wiedzy z zakresu klęsk żywiołowych ze szczególnym uwzględnieniem suszy
7) Międzynarodowe warsztaty nt. ubustwa i wykluczenia na wsi (szkolenie, wyjazd studyjny)
8) Rolniczy Handel Detalicxzny ważnym elementem zrównoważonego rozwoju obszarów wiejskich (4 konferencje)
9) Zrównoważony rozwój regionu w oparciu o certyfikowane produkty tradycyjne (wyjazd studyjny, konferencja)
10) Puls wsi, czyli partycypacja umacnia lokalną synergię wsi (seminarium-3, konferencja-1)
11) Wyjazd studyjny-od bacówki do fabryki, dobre praktyki (wyjazd studyjny)
12) Sieci współpracy w turystyce wiejskiej - stan obecny i nowe wyzwania (konferencja) 
13) Zwiększenie efektywności doradztwa we wspieraniu innowacyjności w rolnictwie (konferencja)
14) Komercjalizacja działalności LGD formą budowy potencjału organizacyjnego (szkolenie)
15) Gospodarstwa opikuńcze - rozwijanie usług społecznych na obszarach wiejskich (szkolenia 16)
16) Przyróćmy Wisłę mieszkańcom obszarów wiejskich (szkolenie -4, wyjazd studyjny -4)
17) WPR po 2020 r.  (konferencje -4)
18) Upowszechnianie dobrych praktyk w farmerskiej produkcji sera (seminaria-13 dla PLW oraz dla doradców rolniczych, producentów, LGD, przedstawicieli organizacji pozarządowych)
1) 2 Jednodniowe konferencje nt. rezultatów realizacji PROW 2014-2020 z uwzględnieniem doświadczeń z perspektywy 2007-2013 oraz punkt informacyjny/doradczy (DROW)
2) "Transfer wiedzy i działalność informacyjna" (2 spotkania Spotkania podczas Sierpeckich Dni Rolnika w Studzieńcu miały charakter regionalny. Spotkania z nauczycielami ze szkół prowadzonych przez Ministra Rolnictwa i Rozwoju Wsi miały charakter krajowy). (SSO)
3) Organizacja konkursów promujących i informujących o PROW 2014-2020 (konkurs Sposób na sukces oraz na najlepsze wydwnictwo ODR) (SAR)
RR
Dane ze stron targowych lub informacja od organizatora targów, liczba osób odwiedzjących targi:
1) Targi AgroPark w Lublinie: 27 102
2) Międzynarodowe Targi Techniki Rolniczej AGROTECH w Kielcach: 71 250
3) Regionalna Wystawa Zwierząt Hodowlanych w Szepietowie 100 000
4) XXVI Krajowa Wystawa Rolnicza oraz Ogólnopolskie Dożynki Jasnogórskie w Częstochowie: 80 000
5) Dożynki Prezydenckie w Spale: 3 800
6) XL Międzynarodowe Targi Rolno-Przemysłowye AGRO-TECH połączone z Regionalną Wystawą Zwierząt Hodowlanych w Minikowie: 30 000
7) XXIV Regionalna Wystawa Zwierząt Hodowlanych i Dni z Doradztwem Rolniczym w Szepietowie: 100 000
8) Międzynarodowa Wystawa Rolnicza AGRO SHOW w Bendarach: 112 000
9) XXIX Międzynarodowe Dni z Doradztwem Rolniczym połączone z XIII Regionalną Wystawą Zwierząt Hodowlanych w Siedlcach: 80 000
10) Uczestnicy seminariów/szkoleń/spotkań/konferencji informacyjnych nt.  Systemu Chronionych Nazw Pochodzenia, Chronionych Oznaczeń Geograficznych oraz Gwarantowanych Tradycyjnych Specjalności w celu przedstawienia działań wspierających ten sektor w ramach PROW 2014-2020 - dane na podstawie list obecności 550 os.DROW
1.  2 cykle dwudniowych warsztatów, z których każdy składał się z 8 warsztatów;
2. 1 cykl jednodniowych warsztatów składający się z 8 spotkań;
3. 2 jednodniowe szkolenia;
4. umożliwienie udziału przedstawicieli LGD w 4 zagranicznych spotkaniach mających na celu skojarzenie potencjalnych partnerów projektów współpracy międzynarodowej
DGZ
1. Obszar tematyczny: Promocja zrównoważonego rozwoju Obszarów Wiejskich  (operacja: XLI Ogólnopolskiego Konkursu Jakości Prac Scaleniowych promujacego doświadczenia i najlepsze stosowane praktyki)
SSO
1) "Olimpiada Wiedzy i Umiejętności Rolniczych" (zakup nagród rzeczowych dla laureatów);
2) "Olimpiada Wiedzy o Żywieniu i Żywności" (zakup nagród rzeczowych dla laureatów);
3)  Cykl konferencji dla dyrektorów szkół rolniczych prowadzonych przez Ministra Rolnictwa i Rozwoju Wsi dot. RPOW 2014-2020 ( 2 konferencje)
4) 8 seminariów pod nazwą: Integracja środowiska turystyki wiejskiej i agroturystyki z przedstawicielami branży turystycznej (priotytet 5 i 6);
5) organizacja stoiska "Odpoczywaj na wsi" na 8 imprezach targowo-plenerowych (priotytet 5 i 6)
6) organizacja stoiska "Odpoczywaj na wsi" na targach ITB w Berlinie  (piorytet 6 z naciskiem na promowanie rozwoju gospodarczego na obszarach wiejskich)
7) Liderki społeczności wiejskiej w procesach rozwoju lokalnego - (40 jednodniowych szkoleń)
SAR
1) 1 seminarium dla kadry zarządzajacej instytutów badawczych i jednostek doradztwa rolniczego, 2 wizyty doradców rolniczych w instytutach naukowo-badawczych, 2 spotkania informacyjne dla kadry zarządzajacej jednostkami doradztwa rolniczego
RR
Dane ze stron targowych, liczba odwiedzających tragi:  
- Grune Woche w Berlinie: 400000; 
- BioFach 51453;  
- Natura Food 12000.
- Liczba uczestników finału VI edycji ogólnoplskiego konkursu dla szkół gastronomicznych - 50 osób.Obszar tematyczny : Seminarium podsumowujące ZXL Ogólnopolski Konkurs Jakości Prac Scaleniowych</v>
          </cell>
          <cell r="B28"/>
        </row>
        <row r="29">
          <cell r="A29"/>
          <cell r="B29"/>
        </row>
        <row r="30">
          <cell r="A30"/>
          <cell r="B30"/>
        </row>
        <row r="31">
          <cell r="A31"/>
          <cell r="B31"/>
        </row>
        <row r="32">
          <cell r="A32"/>
          <cell r="B32"/>
        </row>
        <row r="33">
          <cell r="A33"/>
          <cell r="B33"/>
        </row>
        <row r="34">
          <cell r="A34"/>
          <cell r="B34"/>
        </row>
        <row r="35">
          <cell r="A35"/>
          <cell r="B35"/>
        </row>
        <row r="40">
          <cell r="A40" t="str">
            <v xml:space="preserve">       Upowszechnianie dobrych praktyk w farmerskiej produkcji sera (strona internetowa)</v>
          </cell>
          <cell r="B40"/>
        </row>
        <row r="41">
          <cell r="A41"/>
          <cell r="B41"/>
        </row>
        <row r="42">
          <cell r="A42"/>
          <cell r="B42"/>
        </row>
        <row r="43">
          <cell r="A43"/>
          <cell r="B43"/>
        </row>
        <row r="44">
          <cell r="A44"/>
          <cell r="B44"/>
        </row>
        <row r="45">
          <cell r="A45"/>
          <cell r="B45"/>
        </row>
        <row r="46">
          <cell r="A46"/>
          <cell r="B46"/>
        </row>
        <row r="47">
          <cell r="A47"/>
          <cell r="B47"/>
        </row>
        <row r="62">
          <cell r="A62" t="str">
            <v xml:space="preserve"> 1.Kalendarze na 2017 r. promujace działania obszarowe PROW 2014-2020;                                                                                                                                                                                                                                                                                                                            2. Drukowane materiały informacyjno-promocyjne dla działań obszarowych PROW 2014-2020.   600 egz. kalendarzy na 2017 r., power banki 150 szt., wiatromierze 33 szt., deszczomierze 33 szt., testery pH 33 szt. Informator o instytutach  badawczych nadzorowanych przez Ministra Rolnictwa i Rozwoju Wsi- liczba egzemplarzy 1000 sztuk Wydanie publikacji informacyjnej  z zakresu systemu Chronionych Nazw Pochodzenia, Chronionych Oznaczeń Geograficzych, Gwarantowanych Tradycyjnych Specjalności- roztrzygnięcie konkursu na przepis kulinarny ( 5.000 egz.);  zamieszczenie w Kalendarzu Rolników na 2017 rok materiału informacyjno-promocyjnego dot. PROW 2014-2020 (1 artykuł 1 tj. 18 stron w nakładzie 250.000 ); wykonanie materiałów promocyjnych PROW 2014-2020 ( 18.200 sztuk). 1) Zespół ekspertów na rzecz wymogów ochrony środowiska i zmian klimatu (4 rodzaje publikacji)
2) Rola zasobów lokalnych w rozwoju wsi - dwie publikacje naukowe - (2 tomy po 250 egz. każdy - studia obszarów wiejskich - przypadki wykorzystania zasobów lokalnych w rozwoju obszarów wiejskich - 2 tomy)
3) Puls wsi, czyli partycypacja umacnia lokalną synergię wsi (publikacja)
4) Sieci współpracy w turystyce wiejskiej - stan obecny i nowe wyzwania (publikacja)
5) Zwiększenie efektywności doradztwa we wspieraniu innowacyjności w rolnictwie (publikacje - 1 ekspertyza)
6) Komercjalizacja działalności LGD formą budowy potencjału organizacyjnego (publikacja)
7) Działania informacyjno-promocyjne dot. zawodu rzeźnika (publikacja)
8) Gospodarstwa opikuńcze - rozwijanie usług społecznych na obszarach wiejskich (publikacja na CD)
9)Przyróćmy Wisłę mieszkańcom obszarów wiejskich (publikacja)
10)WPR po 2020 r.  (publikacja)
11) Racjonalna i zasobooszczędna gospodarka zasobami w rolnictwie i na obszarach wiejskich (publikacja -2)
12) Upowszechnianie dobrych praktyk w farmerskiej produkcji sera (poradnik)
DPB
1.Kalendarze na 2018 r. promujace działania obszarowe PROW 2014-2020 (2 000 egzemplarzy)                                                                                                                                                                                                                                                                                                                       2. Drukowane materiały informacyjno-promocyjne dla działań obszarowych PROW 2014-2020 (44 500 egzemplarzy)
SSO
Zakup materiałów informacyjno-promocyjnych w zakresie PROW 2014-2020
SAR
Zakup gadżetów promocyjnych
RR
 Zamieszczenie w „Kalendarzu Rolników” na 2017 i 2018 rok materiału informacyjno-promocyjnego MRiRW dotyczącego PROW 2014-2020.
DROW
Zakup gadżetów promocyjnych</v>
          </cell>
          <cell r="B62"/>
        </row>
        <row r="63">
          <cell r="A63"/>
          <cell r="B63"/>
        </row>
        <row r="64">
          <cell r="A64"/>
          <cell r="B64"/>
        </row>
        <row r="65">
          <cell r="A65"/>
          <cell r="B65"/>
        </row>
        <row r="66">
          <cell r="A66"/>
          <cell r="B66"/>
        </row>
        <row r="67">
          <cell r="A67"/>
          <cell r="B67"/>
        </row>
        <row r="68">
          <cell r="A68"/>
          <cell r="B68"/>
        </row>
        <row r="69">
          <cell r="A69"/>
          <cell r="B69"/>
        </row>
        <row r="72">
          <cell r="A72" t="str">
            <v xml:space="preserve">     Kampania informacyjno-edukacyjna dotycząca PROW 2014-2020 na antenie Telwizji Polskiej S.A - Program 1 w audycj pt. "Magazyn Rolniczy" (6); Kampania informacyjno-edukacyjna dotycząca PROW 2014-2020 na antenie Telwizji Polskiej S.A - Program 1 w audycj pt. "Dzień Dobry w Sobotę";  (13);Kampania informacyjno-edukacyjna dotycząca PROW 2014-2020 na antenie Telwizji Polskiej S.A - Program 1 w audycj pt. Wielki Test o Żywności. Polska Smakuje" (1) Zorganizowanie i przeprowadzenie V edycji Konkursu dla szkół gastronomicznych na przepisy wykorzystujące produkty uczestniczące w systemie Chronionych Nazw Pochodzenia, Chronionych Oznaczeń Geograficznych oraz Gwarantowanych Tradycyjnych Specjalności;
produkcja i emisja audycji rolniczej o charakterze informacyjno-publicystycznym pod nazwą "Forum Rolnika" na antenie rozgłośni regionalnej: Polskiego Radia-Regionalnej Rozgłośni w Olsztynie Radio Olsztyn S.A. (16),
emisja audycji rolniczej o charakterze informacyjno-publicystycznym pod nazwą "Forum Rolnika" na antenach rozgłośni regionalnych: Polskiego Radia-Regionalnej Rozgłośni w Lublinie „Radio Lublin” S.A., Polskiego Radia-Regionalnej Rozgłośni w Białymstoku „Radio Białystok” S.A., Polskiego Radia-Regionalnej Rozgłośni w Koszalinie „Radio Koszalin” S.A., Polskiego Radia-Regionalnej Rozgłośni w Poznaniu „Radio Merkury” S.A., Polskiego Radia-Regionalnej Rozgłośni w Bydgoszczy "Polskie Radio Pomorza i Kujaw" S.A., Polskiego Radia-Regionalnej Rozgłośni w Warszawie „Radio Dla Ciebie” S.A., "Polskiego Radia Rzeszów"- Rozgłośni Regionalnej w Rzeszowie S.A.,  Polskiego Radia-Regionalnej Rozgłośni w Szczecinie „Polskie Radio Szczecin” S.A., Polskiego Radia-Regionalnej Rozgłośni w Zielonej Górze „Radio Zachód” S.A., Polskiego Radia-Regionalnej Rozgłośni w Kielcach „Radio Kielce” S.A.(132),
 Polskiego Radia-Regionalnej Rozgłośni w Łodzi „Radio Łódź” S.A.; Produkcja i emisja 3-minutowych audycji AgroFakty, na antenie Programu Pierwszego Polskiego Radia S.A. (14) 1) Rolniczy Handel Detalicxzny ważnym elementem zrównoważonego rozwoju obszarów wiejskich (audycje)
2) Działania informacyjno-promocyjne dot. zawodu rzeźnika (produkcja i emisja filmu)
3)Przyróćmy Wisłę mieszkańcom obszarów wiejskich (film -4)
RR
1) Zorganizowanie i przeprowadzenie VI edycji Konkursu dla szkół gastronomicznych na przepisy wykorzystujące produkty uczestniczące w systemie Chronionych Nazw Pochodzenia, Chronionych Oznaczeń Geograficznych oraz Gwarantowanych Tradycyjnych Specjalności;
2) Produkcja (33) i emisja radiowa audycji rolniczej o charakterze informacyjno-publicystycznym dotyczących PROW 2014-2020  pod nazwą „Forum Rolnika” na antenach regionalnych rozgłośni radiowych: Polskiego Radia - Regionalnej Rozgłośni w Olsztynie „Radio Olsztyn” S.A., Polskiego Radia-Regionalnej Rozgłośni w Białymstoku „Radio Białystok” S.A., "Polskiego Radia Rzeszów" - Rozgłośni Regionalnej w Rzeszowie S.A., Polskiego Radia-Regionalnej Rozgłośni w Kielcach „Radio Kielce” S.A., Polskiego Radia-Regionalnej Rozgłośni w Lublinie „Radio Lublin” S.A. (165)  
3) Kampania informacyjno-edukacyjna polegająca na umieszczeniu wątków na temat PROW na lata 2007-2013 oraz PROW 2014-2020 w audycjach telewizyjnych pt. : "To się opłaca" (18)
</v>
          </cell>
          <cell r="B72"/>
        </row>
        <row r="73">
          <cell r="A73"/>
          <cell r="B73"/>
        </row>
        <row r="74">
          <cell r="A74"/>
          <cell r="B74"/>
        </row>
        <row r="75">
          <cell r="A75"/>
          <cell r="B75"/>
        </row>
        <row r="76">
          <cell r="A76"/>
          <cell r="B76"/>
        </row>
        <row r="77">
          <cell r="A77"/>
          <cell r="B77"/>
        </row>
        <row r="78">
          <cell r="A78"/>
          <cell r="B78"/>
        </row>
        <row r="79">
          <cell r="A79"/>
          <cell r="B79"/>
        </row>
        <row r="85">
          <cell r="A85" t="str">
            <v xml:space="preserve">      </v>
          </cell>
          <cell r="B85"/>
        </row>
        <row r="86">
          <cell r="A86"/>
          <cell r="B86"/>
        </row>
        <row r="87">
          <cell r="A87"/>
          <cell r="B87"/>
        </row>
        <row r="88">
          <cell r="A88"/>
          <cell r="B88"/>
        </row>
        <row r="89">
          <cell r="A89"/>
          <cell r="B89"/>
        </row>
        <row r="90">
          <cell r="A90"/>
          <cell r="B90"/>
        </row>
        <row r="91">
          <cell r="A91"/>
          <cell r="B91"/>
        </row>
        <row r="92">
          <cell r="A92"/>
          <cell r="B92"/>
        </row>
        <row r="98">
          <cell r="A98" t="str">
            <v xml:space="preserve">      Obszar tematyczny: Promocja zrównoważonego rozwoju Obszarów Wiejskich  (operacja: XLI Ogólnopolskiego Konkursu Jakości Prac Scaleniowych promujacego doświadczenia i najlepsze stosowane praktyki)Obszar tematyczny : Seminarium podsumowujące ZXL Ogólnopolski Konkurs Jakości Prac Scaleniowych</v>
          </cell>
          <cell r="B98"/>
        </row>
        <row r="99">
          <cell r="A99"/>
          <cell r="B99"/>
        </row>
        <row r="100">
          <cell r="A100"/>
          <cell r="B100"/>
        </row>
        <row r="101">
          <cell r="A101"/>
          <cell r="B101"/>
        </row>
        <row r="102">
          <cell r="A102"/>
          <cell r="B102"/>
        </row>
        <row r="103">
          <cell r="A103"/>
          <cell r="B103"/>
        </row>
        <row r="104">
          <cell r="A104"/>
          <cell r="B104"/>
        </row>
        <row r="105">
          <cell r="A105"/>
          <cell r="B105"/>
        </row>
        <row r="109">
          <cell r="A109" t="str">
            <v xml:space="preserve">      </v>
          </cell>
          <cell r="B109"/>
        </row>
        <row r="110">
          <cell r="A110"/>
          <cell r="B110"/>
        </row>
        <row r="111">
          <cell r="A111"/>
          <cell r="B111"/>
        </row>
        <row r="112">
          <cell r="A112"/>
          <cell r="B112"/>
        </row>
        <row r="113">
          <cell r="A113"/>
          <cell r="B113"/>
        </row>
        <row r="114">
          <cell r="A114"/>
          <cell r="B114"/>
        </row>
        <row r="115">
          <cell r="A115"/>
          <cell r="B115"/>
        </row>
        <row r="116">
          <cell r="A116"/>
          <cell r="B116"/>
        </row>
        <row r="120">
          <cell r="A120" t="str">
            <v xml:space="preserve">      </v>
          </cell>
          <cell r="B120"/>
        </row>
        <row r="121">
          <cell r="A121"/>
          <cell r="B121"/>
        </row>
        <row r="122">
          <cell r="A122"/>
          <cell r="B122"/>
        </row>
        <row r="123">
          <cell r="A123"/>
          <cell r="B123"/>
        </row>
        <row r="124">
          <cell r="A124"/>
          <cell r="B124"/>
        </row>
        <row r="125">
          <cell r="A125"/>
          <cell r="B125"/>
        </row>
        <row r="126">
          <cell r="A126"/>
          <cell r="B126"/>
        </row>
        <row r="127">
          <cell r="A127"/>
          <cell r="B127"/>
        </row>
        <row r="144">
          <cell r="A144" t="str">
            <v xml:space="preserve">    Wyjazd 1 osoby z SAR do Brukseli w dn. 30.11-01.12.2016 r. w związku z udziałem w posiedzeniu Zgromadzenia Sieci Obszarów Wiejskich  Udział 1 osoby z BPT w V i VI posiedzeniu Grupy Sterującej ds. ESROW w Brukseli oraz w posiedzeniu Zgromadzenia ESOWSpotkanie w dniach 24-26 kwietnia 2017 roku Sieci Morza Bałtyckiego EFRROW w Helsinkach</v>
          </cell>
          <cell r="B144"/>
        </row>
        <row r="145">
          <cell r="A145"/>
          <cell r="B145"/>
        </row>
        <row r="146">
          <cell r="A146"/>
          <cell r="B146"/>
        </row>
        <row r="147">
          <cell r="A147"/>
          <cell r="B147"/>
        </row>
        <row r="148">
          <cell r="A148"/>
          <cell r="B148"/>
        </row>
        <row r="149">
          <cell r="A149"/>
          <cell r="B149"/>
        </row>
        <row r="150">
          <cell r="A150"/>
          <cell r="B150"/>
        </row>
        <row r="151">
          <cell r="A151"/>
          <cell r="B151"/>
        </row>
        <row r="155">
          <cell r="A155" t="str">
            <v xml:space="preserve">      </v>
          </cell>
          <cell r="B155"/>
        </row>
        <row r="156">
          <cell r="A156"/>
          <cell r="B156"/>
        </row>
        <row r="157">
          <cell r="A157"/>
          <cell r="B157"/>
        </row>
        <row r="158">
          <cell r="A158"/>
          <cell r="B158"/>
        </row>
        <row r="159">
          <cell r="A159"/>
          <cell r="B159"/>
        </row>
        <row r="160">
          <cell r="A160"/>
          <cell r="B160"/>
        </row>
        <row r="161">
          <cell r="A161"/>
          <cell r="B161"/>
        </row>
        <row r="162">
          <cell r="A162"/>
          <cell r="B162"/>
        </row>
        <row r="165">
          <cell r="A165" t="str">
            <v xml:space="preserve">      </v>
          </cell>
          <cell r="B165"/>
        </row>
        <row r="166">
          <cell r="A166"/>
          <cell r="B166"/>
        </row>
        <row r="167">
          <cell r="A167"/>
          <cell r="B167"/>
        </row>
        <row r="168">
          <cell r="A168"/>
          <cell r="B168"/>
        </row>
        <row r="169">
          <cell r="A169"/>
          <cell r="B169"/>
        </row>
        <row r="170">
          <cell r="A170"/>
          <cell r="B170"/>
        </row>
        <row r="171">
          <cell r="A171"/>
          <cell r="B171"/>
        </row>
        <row r="172">
          <cell r="A172"/>
          <cell r="B172"/>
        </row>
        <row r="178">
          <cell r="A178" t="str">
            <v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1. Szkolenie uzupełniające dla doradców rolnośrodowiskowych i eskpertów przyrodniczych 2. Spotkanie informacyjne dla kadry zarządzającej jednostkami doradztwa rolniczego (nie było finansowane z PK) * Szkolenia z zakresu pierwszej pomocy skierowane były do właścicieli zagród edukacyjnych, członków ich rodzin oraz osób zainteresowanych zarejestrowaniem swojej zagrody edukacyjnej w Ogólnopolskiej Sieci Zagród Edukacyjnych. Odbyły się w 11 następujących województwach: dolnośląskim, lubelskim, lubuskim, łódzkim, mazowieckim, opolskim, podkarpackim, śląskim, świętokrzyskim, wielkopolskim oraz zachodniopomorskim. Szkolenia odbyły się w siedzibach wojewódzkich ośrodków doradztwa rolniczego, były to szkolenia jednodniowe  DPB
1. Szkolenie dotycząse w drażania Działania rolno-środowiskowoo-klimatycznego i Działania Rolnictwo ekologiczne w ramach PROW 2014-2020 od 2017 r. (13.04)                                                                                                                                                                                                                                                                                                                     2. Zasoby genetyczne w rolnictwie (15-16.11) 
SAR
Szkolenia dla doradców świadczących doradztwo w ramach PROW 2014-2020 ( 137 szkoleń stacjonarnych i 3 szkolenie e-learningowe, wykzane w poz."Inne". Liczba dni szkoleniowych nie dotyczy poz. "Inne")
DROW
1.  2 cykle dwudniowych warsztatów, z których każdy składał się z 8 warsztatów;
2. 1 cykl jednodniowych warsztatów składający się z 8 spotkań;
3. 2 jednodniowe szkolenia;
SAR
Zorganizowano: A- Szkolenia z zakresu pierwszej pomocy skierowane były do właścicieli zagród edukacyjnych, członków ich rodzin oraz osób zainteresowanych zarejestrowaniem swojej zagrody edukacyjnej w Ogólnopolskiej Sieci Zagród Edukacyjnych. Odbyły się w 5 następujących województwach: kujawsko-pomorskim, małopolskim, podlaskim, pomorskim, warmińsko-mazurskim. Szkolenia odbyły się w siedzibach wojewódzkich ośrodków doradztwa rolniczego, były to szkolenia jednodniowe; oraz B - trzydniowe szkolenie dla koordynatorów Ogólnopolskiej Sieci Zagród Edukacyjnych. 
1. Spotkanie dotyczące palnownaych zmian przepisów rozporządzeń MRiRW w zakresie Działania rolno-środowiskowo-klimatycznego i działania Rolnictwo Ekologiczne w ramach PROW 2014-2020 (W-wa 26.07);                                                                                                                                                                                   2.Konferencja pt. Wdrażanie Krajowej Strategii zrównoważonego użytkowania i ochrony zasobów genetycznych zwierząt gospodarskich: osiągnięcia i wyzwania,,  (Kraków 19.10);                                                                                                                                                                                                                            3.Konferencja „Rasy rodzime gwarantem produktów wysokiej jakości” (Nadarzyn 01.12);                                                                                                           4.Wspólne posiedzenie Komitetu ds. Funduszy Rolniczych i Komitetu ds. Rozwoju Obszarów Wiejskich (Bruksela 14.06);                                                        5. Komitet ds. Rozwoju Obszarów Wiejskich ( Bruksela 04.10);                                                                                                                                                                                              6. Warsztaty pn. "Opracowanie raportu z wdrażania Konwencji Ramsarskie"  (Wożnawieś 12-13.09);                                                                                       7.Warsztaty pt. "Natura 2000: efektywne wykorzystanie możliwości wsparcia w ramach polityki rozwoju obszarów wiejskich" (Bruksela 28.09);
8.  Szkolenie dla doradców rolnośrodowiskowych (Radom 08.02);
9.  Konferencja PROW 2014-2020 (Sokółka 13.05);
10.  Międzynarodowe Targi Rolno-Przemysłowe AGRO – TECH (Minikowo 30.06.-02.07);
11. Konferencja „Upowszechnianie wiedzy w zakresie jakości żywności”(Łódź 12.10);                                                                                                                                                                                                                                                                                                                                                                                       12. Targi: Regionalna Wystawa Zwierząt Hodowlanych (Szepietowo 24-25.06.2017);                                                                                                                                                                                                                                                                                                                                                                                              13.Seminarium dotyczącego realizacji działania „Zalesianie i tworzenie terenów zalesionych” objętego Programem Rozwoju Obszarów Wiejskich na lata 2014-2020, w terminie  12 grudnia 2017 roku. </v>
          </cell>
          <cell r="B178"/>
        </row>
        <row r="179">
          <cell r="A179"/>
          <cell r="B179"/>
        </row>
        <row r="180">
          <cell r="A180"/>
          <cell r="B180"/>
        </row>
        <row r="181">
          <cell r="A181"/>
          <cell r="B181"/>
        </row>
        <row r="182">
          <cell r="A182"/>
          <cell r="B182"/>
        </row>
        <row r="183">
          <cell r="A183"/>
          <cell r="B183"/>
        </row>
        <row r="184">
          <cell r="A184"/>
          <cell r="B184"/>
        </row>
        <row r="185">
          <cell r="A185"/>
          <cell r="B185"/>
        </row>
        <row r="189">
          <cell r="A189" t="str">
            <v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 W szkoleniach brali udział właściciele Zagród Edukacyjnych zagród edukacyjnych, członkowie ich rodzin oraz osoby zainteresowane zarejestrowaniem swojej zagrody edukacyjnej w Ogólnopolskiej Sieci Zagród Edukacyjnych.  DPB
1. Szkolenie dotycząse w drażania Działania rolno-środowiskowoo-klimatycznego i Działania Rolnictwo ekologiczne w ramach PROW 2014-2020 od 2017 r. (13.04)                                                                                                                                                                                                                                                                                                                     2. Zasoby genetyczne w rolnictwie (15-16.11)  
SAR
Szkolenia dla doradców świadczących doradztwo w ramach PROW 2014-2020
DROW
1.  543 uczestników 2 cykli dwudniowych warsztatów, z których każdy składał się z 8 warsztatów;
2. 253 uczestników 1 cyklu jednodniowych warsztatów składającego się z 8 spotkań;
3. 50 uczestników 2 jednodniowych szkoleń;
SAR
W szkoleniach z zakresu pierwszej pomocy brali udział właściciele zagród edukacyjnych, członkowie ich rodzin oraz osoby zainteresowane zarejestrowaniem swojej zagrody edukacyjnej w Ogólnopolskiej Sieci Zagród Edukacyjnych. W szkoleniu dla koordynatorów Sieci Zagród brali udział doradcy zatrudnieni w ODR oraz inne osoby zaangażowane w OSZE (pracownicy MRiRW oraz eksperci).
1. Spotkanie dotyczące palnownaych zmian przepisów rozporządzeń MRiRW w zakresie Działania rolno-środowiskowo-klimatycznego i działania Rolnictwo Ekologiczne w ramach PROW 2014-2020 (W-wa 26.07);                                                                                                                                                                                   2.Konferencja pt. Wdrażanie Krajowej Strategii zrównoważonego użytkowania i ochrony zasobów genetycznych zwierząt gospodarskich: osiągnięcia i wyzwania,,  (Kraków 19.10);                                                                                                                                                                                                                            3.Konferencja „Rasy rodzime gwarantem produktów wysokiej jakości” (Nadarzyn 01.12);                                                                                                           4.Wspólne posiedzenie Komitetu ds. Funduszy Rolniczych i Komitetu ds. Rozwoju Obszarów Wiejskich (Bruksela 14.06);                                                        5. Komitet ds. Rozwoju Obszarów Wiejskich ( Bruksela 04.10);
6. Warsztaty pn. "Opracowanie raportu z wdrażania Konwencji Ramsarskie"  (Wożnawieś 12-13.09);                                                                                       7.Warsztaty pt. "Natura 2000: efektywne wykorzystanie możliwości wsparcia w ramach polityki rozwoju obszarów wiejskich" (Bruksela 28.09);   8.  Szkolenie dla doradców rolnośrodowiskowych (Radom 08.02);
9.  Konferencja PROW 2014-2020 (Sokółka 13.05);
10.  Międzynarodowe Targi Rolno-Przemysłowe AGRO – TECH (Minikowo 30.06.-02.07);
11. Konferencja „Upowszechnianie wiedzy w zakresie jakości żywności”(Łódź 12.10);                                                                                                                                                                                                                                                                                                                                                                                  12. Targi: Regionalna Wystawa Zwierząt Hodowlanych (Szepietowo 24-25.06.2017);                                                                                                                                                                                                                                                                                                                                                                                                 13. Seminarium dotyczącego realizacji działania „Zalesianie i tworzenie terenów zalesionych” objętego Programem Rozwoju Obszarów Wiejskich na lata 2014-2020, w terminie  12 grudnia 2017 roku.</v>
          </cell>
          <cell r="B189"/>
        </row>
        <row r="190">
          <cell r="A190"/>
          <cell r="B190"/>
        </row>
        <row r="191">
          <cell r="A191"/>
          <cell r="B191"/>
        </row>
        <row r="192">
          <cell r="A192"/>
          <cell r="B192"/>
        </row>
        <row r="193">
          <cell r="A193"/>
          <cell r="B193"/>
        </row>
        <row r="194">
          <cell r="A194"/>
          <cell r="B194"/>
        </row>
        <row r="195">
          <cell r="A195"/>
          <cell r="B195"/>
        </row>
        <row r="196">
          <cell r="A196"/>
          <cell r="B196"/>
        </row>
        <row r="202">
          <cell r="A202" t="str">
            <v xml:space="preserve">      DROW
1. umożliwienie udziału przedstawicieli LGD w 4 zagranicznych spotkaniach mających na celu skojarzenie potencjalnych partnerów projektów współpracy międzynarodowej</v>
          </cell>
          <cell r="B202"/>
        </row>
        <row r="203">
          <cell r="A203"/>
          <cell r="B203"/>
        </row>
        <row r="204">
          <cell r="A204"/>
          <cell r="B204"/>
        </row>
        <row r="205">
          <cell r="A205"/>
          <cell r="B205"/>
        </row>
        <row r="206">
          <cell r="A206"/>
          <cell r="B206"/>
        </row>
        <row r="207">
          <cell r="A207"/>
          <cell r="B207"/>
        </row>
        <row r="208">
          <cell r="A208"/>
          <cell r="B208"/>
        </row>
        <row r="209">
          <cell r="A209"/>
          <cell r="B209"/>
        </row>
        <row r="213">
          <cell r="B213" t="str">
            <v>W ramach kosztów funkcjonowania wliczono koszty delegacji krajowych, szkoleń, kursów językowych, wynagrodzeń osobowych, bezosobowych, ekspertyz, ksiegi wizualizacji, utrzymania portalu KSOW, usług remontowych, wyposażenia stanowisk pracy osób zajmujacych się KSOW, tłumaczeń, organizacji spotkań, materiałów, usług teleinformatycznych, eksploatacyjnych przypadających na pracowników zaangażowanych w realizację zadań w ramach KSOW.</v>
          </cell>
        </row>
        <row r="214">
          <cell r="B214"/>
        </row>
        <row r="215">
          <cell r="B215"/>
        </row>
        <row r="216">
          <cell r="B216"/>
        </row>
        <row r="217">
          <cell r="B217"/>
        </row>
        <row r="218">
          <cell r="B218"/>
        </row>
        <row r="219">
          <cell r="B219"/>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topLeftCell="C12" zoomScale="90" zoomScaleNormal="90" workbookViewId="0">
      <selection activeCell="H18" sqref="H18:O18"/>
    </sheetView>
  </sheetViews>
  <sheetFormatPr defaultColWidth="8.85546875" defaultRowHeight="15"/>
  <cols>
    <col min="1" max="1" width="91" customWidth="1"/>
    <col min="2" max="2" width="29.42578125" customWidth="1"/>
    <col min="3" max="3" width="16.140625" customWidth="1"/>
    <col min="4" max="6" width="17.7109375" customWidth="1"/>
    <col min="7" max="7" width="22.42578125" customWidth="1"/>
    <col min="8" max="8" width="24.85546875" customWidth="1"/>
    <col min="9" max="9" width="19.42578125" customWidth="1"/>
    <col min="10" max="10" width="20.85546875" customWidth="1"/>
    <col min="11" max="11" width="17.42578125" customWidth="1"/>
    <col min="12" max="12" width="15.42578125" customWidth="1"/>
    <col min="13" max="13" width="14.5703125" customWidth="1"/>
    <col min="14" max="14" width="14" customWidth="1"/>
    <col min="15" max="15" width="13.5703125" customWidth="1"/>
    <col min="16" max="16" width="18.7109375" customWidth="1"/>
    <col min="17" max="25" width="13.7109375" customWidth="1"/>
  </cols>
  <sheetData>
    <row r="1" spans="1:25" s="1" customFormat="1" ht="31.5">
      <c r="A1" s="334" t="s">
        <v>0</v>
      </c>
      <c r="B1" s="1943" t="s">
        <v>169</v>
      </c>
      <c r="C1" s="1944"/>
      <c r="D1" s="1944"/>
      <c r="E1" s="1944"/>
      <c r="F1" s="1944"/>
    </row>
    <row r="2" spans="1:25" s="1" customFormat="1" ht="20.100000000000001" customHeight="1" thickBot="1"/>
    <row r="3" spans="1:25" s="4" customFormat="1" ht="20.100000000000001" customHeight="1">
      <c r="A3" s="2" t="s">
        <v>2</v>
      </c>
      <c r="B3" s="3"/>
      <c r="C3" s="3"/>
      <c r="D3" s="3"/>
      <c r="E3" s="3"/>
      <c r="F3" s="1945"/>
      <c r="G3" s="1945"/>
      <c r="H3" s="1945"/>
      <c r="I3" s="1945"/>
      <c r="J3" s="1945"/>
      <c r="K3" s="1945"/>
      <c r="L3" s="1945"/>
      <c r="M3" s="1945"/>
      <c r="N3" s="1945"/>
      <c r="O3" s="1946"/>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8.25" customHeight="1" thickBot="1">
      <c r="P14" s="7"/>
      <c r="Q14" s="7"/>
      <c r="R14" s="7"/>
      <c r="S14" s="7"/>
      <c r="T14" s="7"/>
      <c r="U14" s="7"/>
      <c r="V14" s="7"/>
      <c r="W14" s="7"/>
      <c r="X14" s="7"/>
    </row>
    <row r="15" spans="1:25" s="51" customFormat="1" ht="29.25" customHeight="1">
      <c r="A15" s="8"/>
      <c r="B15" s="9"/>
      <c r="C15" s="10"/>
      <c r="D15" s="1953" t="s">
        <v>5</v>
      </c>
      <c r="E15" s="1954"/>
      <c r="F15" s="1954"/>
      <c r="G15" s="1954"/>
      <c r="H15" s="11"/>
      <c r="I15" s="12" t="s">
        <v>6</v>
      </c>
      <c r="J15" s="13"/>
      <c r="K15" s="13"/>
      <c r="L15" s="13"/>
      <c r="M15" s="13"/>
      <c r="N15" s="13"/>
      <c r="O15" s="14"/>
      <c r="P15" s="15"/>
      <c r="Q15" s="16"/>
      <c r="R15" s="17"/>
      <c r="S15" s="17"/>
      <c r="T15" s="17"/>
      <c r="U15" s="17"/>
      <c r="V15" s="17"/>
      <c r="W15" s="15"/>
      <c r="X15" s="15"/>
      <c r="Y15" s="16"/>
    </row>
    <row r="16" spans="1:25" s="56" customFormat="1" ht="154.5"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955" t="s">
        <v>172</v>
      </c>
      <c r="B17" s="1956"/>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955"/>
      <c r="B18" s="1956"/>
      <c r="C18" s="218">
        <v>2015</v>
      </c>
      <c r="D18" s="336">
        <f>1+7+2</f>
        <v>10</v>
      </c>
      <c r="E18" s="255">
        <f>3</f>
        <v>3</v>
      </c>
      <c r="F18" s="178"/>
      <c r="G18" s="337">
        <f>SUM(D18:F18)</f>
        <v>13</v>
      </c>
      <c r="H18" s="338">
        <f>1</f>
        <v>1</v>
      </c>
      <c r="I18" s="255">
        <f>4</f>
        <v>4</v>
      </c>
      <c r="J18" s="255"/>
      <c r="K18" s="255">
        <f>5</f>
        <v>5</v>
      </c>
      <c r="L18" s="255">
        <v>2</v>
      </c>
      <c r="M18" s="255"/>
      <c r="N18" s="339"/>
      <c r="O18" s="340">
        <v>1</v>
      </c>
      <c r="P18" s="35"/>
      <c r="Q18" s="35"/>
      <c r="R18" s="35"/>
      <c r="S18" s="35"/>
      <c r="T18" s="35"/>
      <c r="U18" s="35"/>
      <c r="V18" s="35"/>
      <c r="W18" s="35"/>
      <c r="X18" s="35"/>
      <c r="Y18" s="35"/>
    </row>
    <row r="19" spans="1:25">
      <c r="A19" s="1955"/>
      <c r="B19" s="1956"/>
      <c r="C19" s="218">
        <v>2016</v>
      </c>
      <c r="D19" s="336">
        <f>5+8</f>
        <v>13</v>
      </c>
      <c r="E19" s="255">
        <v>2</v>
      </c>
      <c r="F19" s="255">
        <f>4-2</f>
        <v>2</v>
      </c>
      <c r="G19" s="341">
        <f t="shared" si="0"/>
        <v>17</v>
      </c>
      <c r="H19" s="338">
        <f>1+2</f>
        <v>3</v>
      </c>
      <c r="I19" s="255">
        <f>3</f>
        <v>3</v>
      </c>
      <c r="J19" s="255"/>
      <c r="K19" s="255">
        <f>2</f>
        <v>2</v>
      </c>
      <c r="L19" s="255"/>
      <c r="M19" s="255"/>
      <c r="N19" s="342"/>
      <c r="O19" s="343">
        <f>11-2</f>
        <v>9</v>
      </c>
      <c r="P19" s="35"/>
      <c r="Q19" s="35"/>
      <c r="R19" s="35"/>
      <c r="S19" s="35"/>
      <c r="T19" s="35"/>
      <c r="U19" s="35"/>
      <c r="V19" s="35"/>
      <c r="W19" s="35"/>
      <c r="X19" s="35"/>
      <c r="Y19" s="35"/>
    </row>
    <row r="20" spans="1:25">
      <c r="A20" s="1955"/>
      <c r="B20" s="1956"/>
      <c r="C20" s="218">
        <v>2017</v>
      </c>
      <c r="D20" s="217">
        <f>23</f>
        <v>23</v>
      </c>
      <c r="E20" s="178"/>
      <c r="F20" s="178">
        <v>2</v>
      </c>
      <c r="G20" s="337">
        <f t="shared" si="0"/>
        <v>25</v>
      </c>
      <c r="H20" s="344">
        <f>6</f>
        <v>6</v>
      </c>
      <c r="I20" s="178">
        <f>6</f>
        <v>6</v>
      </c>
      <c r="J20" s="178">
        <f>1</f>
        <v>1</v>
      </c>
      <c r="K20" s="178">
        <f>1+4</f>
        <v>5</v>
      </c>
      <c r="L20" s="178"/>
      <c r="M20" s="178"/>
      <c r="N20" s="345"/>
      <c r="O20" s="346">
        <f>1+6</f>
        <v>7</v>
      </c>
      <c r="P20" s="35"/>
      <c r="Q20" s="35"/>
      <c r="R20" s="35"/>
      <c r="S20" s="35"/>
      <c r="T20" s="35"/>
      <c r="U20" s="35"/>
      <c r="V20" s="35"/>
      <c r="W20" s="35"/>
      <c r="X20" s="35"/>
      <c r="Y20" s="35"/>
    </row>
    <row r="21" spans="1:25">
      <c r="A21" s="1955"/>
      <c r="B21" s="1956"/>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955"/>
      <c r="B22" s="1956"/>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955"/>
      <c r="B23" s="1956"/>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278.25" customHeight="1" thickBot="1">
      <c r="A24" s="1957"/>
      <c r="B24" s="1958"/>
      <c r="C24" s="42" t="s">
        <v>13</v>
      </c>
      <c r="D24" s="43">
        <f>SUM(D17:D23)</f>
        <v>46</v>
      </c>
      <c r="E24" s="44">
        <f>SUM(E17:E23)</f>
        <v>5</v>
      </c>
      <c r="F24" s="44">
        <f>SUM(F17:F23)</f>
        <v>4</v>
      </c>
      <c r="G24" s="45">
        <f>SUM(D24:F24)</f>
        <v>55</v>
      </c>
      <c r="H24" s="46">
        <f>SUM(H17:H23)</f>
        <v>10</v>
      </c>
      <c r="I24" s="47">
        <f>SUM(I17:I23)</f>
        <v>13</v>
      </c>
      <c r="J24" s="47">
        <f t="shared" ref="J24:N24" si="1">SUM(J17:J23)</f>
        <v>1</v>
      </c>
      <c r="K24" s="47">
        <f t="shared" si="1"/>
        <v>12</v>
      </c>
      <c r="L24" s="47">
        <f t="shared" si="1"/>
        <v>2</v>
      </c>
      <c r="M24" s="47">
        <f t="shared" si="1"/>
        <v>0</v>
      </c>
      <c r="N24" s="47">
        <f t="shared" si="1"/>
        <v>0</v>
      </c>
      <c r="O24" s="48">
        <f>SUM(O17:O23)</f>
        <v>17</v>
      </c>
      <c r="P24" s="347"/>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8"/>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937" t="s">
        <v>173</v>
      </c>
      <c r="B28" s="1962"/>
      <c r="C28" s="57">
        <v>2014</v>
      </c>
      <c r="D28" s="33"/>
      <c r="E28" s="31"/>
      <c r="F28" s="31"/>
      <c r="G28" s="58">
        <f>SUM(D28:F28)</f>
        <v>0</v>
      </c>
      <c r="H28" s="35"/>
      <c r="I28" s="35"/>
      <c r="J28" s="35"/>
      <c r="K28" s="35"/>
      <c r="L28" s="35"/>
      <c r="M28" s="35"/>
      <c r="N28" s="35"/>
      <c r="O28" s="35"/>
      <c r="P28" s="35"/>
      <c r="Q28" s="7"/>
    </row>
    <row r="29" spans="1:25">
      <c r="A29" s="1937"/>
      <c r="B29" s="1962"/>
      <c r="C29" s="59">
        <v>2015</v>
      </c>
      <c r="D29" s="349">
        <f>2394+2000</f>
        <v>4394</v>
      </c>
      <c r="E29" s="339">
        <f>10000+11000+60000</f>
        <v>81000</v>
      </c>
      <c r="F29" s="38"/>
      <c r="G29" s="58">
        <f t="shared" ref="G29:G35" si="2">SUM(D29:F29)</f>
        <v>85394</v>
      </c>
      <c r="H29" s="35"/>
      <c r="I29" s="35"/>
      <c r="J29" s="35"/>
      <c r="K29" s="35"/>
      <c r="L29" s="35"/>
      <c r="M29" s="35"/>
      <c r="N29" s="35"/>
      <c r="O29" s="35"/>
      <c r="P29" s="35"/>
      <c r="Q29" s="7"/>
    </row>
    <row r="30" spans="1:25">
      <c r="A30" s="1937"/>
      <c r="B30" s="1962"/>
      <c r="C30" s="59">
        <v>2016</v>
      </c>
      <c r="D30" s="342">
        <f>2000+3000+6000+600+210+5000+2500+1000+2000+2000+40+80+45</f>
        <v>24475</v>
      </c>
      <c r="E30" s="350">
        <f>12000+60000</f>
        <v>72000</v>
      </c>
      <c r="F30" s="342">
        <f>400000+20000</f>
        <v>420000</v>
      </c>
      <c r="G30" s="58">
        <f t="shared" si="2"/>
        <v>516475</v>
      </c>
      <c r="H30" s="35"/>
      <c r="I30" s="35"/>
      <c r="J30" s="35"/>
      <c r="K30" s="35"/>
      <c r="L30" s="35"/>
      <c r="M30" s="35"/>
      <c r="N30" s="35"/>
      <c r="O30" s="35"/>
      <c r="P30" s="35"/>
      <c r="Q30" s="7"/>
    </row>
    <row r="31" spans="1:25">
      <c r="A31" s="1937"/>
      <c r="B31" s="1962"/>
      <c r="C31" s="59">
        <v>2017</v>
      </c>
      <c r="D31" s="344">
        <f>91910</f>
        <v>91910</v>
      </c>
      <c r="E31" s="178"/>
      <c r="F31" s="178">
        <v>420000</v>
      </c>
      <c r="G31" s="351">
        <f t="shared" si="2"/>
        <v>511910</v>
      </c>
      <c r="H31" s="35"/>
      <c r="I31" s="35"/>
      <c r="J31" s="35"/>
      <c r="K31" s="35"/>
      <c r="L31" s="35"/>
      <c r="M31" s="35"/>
      <c r="N31" s="35"/>
      <c r="O31" s="35"/>
      <c r="P31" s="35"/>
      <c r="Q31" s="7"/>
    </row>
    <row r="32" spans="1:25">
      <c r="A32" s="1937"/>
      <c r="B32" s="1962"/>
      <c r="C32" s="59">
        <v>2018</v>
      </c>
      <c r="D32" s="344"/>
      <c r="E32" s="178"/>
      <c r="F32" s="178"/>
      <c r="G32" s="351">
        <f>SUM(D32:F32)</f>
        <v>0</v>
      </c>
      <c r="I32" s="35"/>
      <c r="J32" s="35"/>
      <c r="K32" s="35"/>
      <c r="L32" s="35"/>
      <c r="M32" s="35"/>
      <c r="N32" s="35"/>
      <c r="O32" s="35"/>
      <c r="P32" s="35"/>
      <c r="Q32" s="7"/>
    </row>
    <row r="33" spans="1:17">
      <c r="A33" s="1937"/>
      <c r="B33" s="1962"/>
      <c r="C33" s="60">
        <v>2019</v>
      </c>
      <c r="D33" s="39"/>
      <c r="E33" s="38"/>
      <c r="F33" s="38"/>
      <c r="G33" s="58">
        <f t="shared" si="2"/>
        <v>0</v>
      </c>
      <c r="H33" s="35"/>
      <c r="I33" s="35"/>
      <c r="J33" s="35"/>
      <c r="K33" s="35"/>
      <c r="L33" s="35"/>
      <c r="M33" s="35"/>
      <c r="N33" s="35"/>
      <c r="O33" s="35"/>
      <c r="P33" s="35"/>
      <c r="Q33" s="7"/>
    </row>
    <row r="34" spans="1:17" ht="24" customHeight="1">
      <c r="A34" s="1937"/>
      <c r="B34" s="1962"/>
      <c r="C34" s="59">
        <v>2020</v>
      </c>
      <c r="D34" s="39"/>
      <c r="E34" s="38"/>
      <c r="F34" s="38"/>
      <c r="G34" s="58">
        <f t="shared" si="2"/>
        <v>0</v>
      </c>
      <c r="H34" s="35"/>
      <c r="I34" s="35"/>
      <c r="J34" s="35"/>
      <c r="K34" s="35"/>
      <c r="L34" s="35"/>
      <c r="M34" s="35"/>
      <c r="N34" s="35"/>
      <c r="O34" s="35"/>
      <c r="P34" s="35"/>
      <c r="Q34" s="7"/>
    </row>
    <row r="35" spans="1:17" ht="401.25" customHeight="1" thickBot="1">
      <c r="A35" s="1963"/>
      <c r="B35" s="1964"/>
      <c r="C35" s="61" t="s">
        <v>13</v>
      </c>
      <c r="D35" s="46">
        <f>SUM(D28:D34)</f>
        <v>120779</v>
      </c>
      <c r="E35" s="44">
        <f>SUM(E28:E34)</f>
        <v>153000</v>
      </c>
      <c r="F35" s="44">
        <f>SUM(F28:F34)</f>
        <v>840000</v>
      </c>
      <c r="G35" s="48">
        <f t="shared" si="2"/>
        <v>1113779</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352" t="s">
        <v>26</v>
      </c>
      <c r="B39" s="353" t="s">
        <v>174</v>
      </c>
      <c r="C39" s="354" t="s">
        <v>9</v>
      </c>
      <c r="D39" s="355" t="s">
        <v>28</v>
      </c>
      <c r="E39" s="356" t="s">
        <v>29</v>
      </c>
      <c r="F39" s="357"/>
      <c r="G39" s="28"/>
      <c r="H39" s="28"/>
    </row>
    <row r="40" spans="1:17">
      <c r="A40" s="1965" t="s">
        <v>175</v>
      </c>
      <c r="B40" s="1966"/>
      <c r="C40" s="358">
        <v>2014</v>
      </c>
      <c r="D40" s="359"/>
      <c r="E40" s="360"/>
      <c r="F40" s="361"/>
      <c r="G40" s="35"/>
      <c r="H40" s="35"/>
    </row>
    <row r="41" spans="1:17">
      <c r="A41" s="1965"/>
      <c r="B41" s="1966"/>
      <c r="C41" s="362">
        <v>2015</v>
      </c>
      <c r="D41" s="363">
        <f>12267+5376</f>
        <v>17643</v>
      </c>
      <c r="E41" s="364">
        <f>8142+1496</f>
        <v>9638</v>
      </c>
      <c r="F41" s="361"/>
      <c r="G41" s="35"/>
      <c r="H41" s="35"/>
    </row>
    <row r="42" spans="1:17">
      <c r="A42" s="1965"/>
      <c r="B42" s="1966"/>
      <c r="C42" s="362">
        <v>2016</v>
      </c>
      <c r="D42" s="365">
        <f>23958+3892</f>
        <v>27850</v>
      </c>
      <c r="E42" s="365">
        <f>1374+2613</f>
        <v>3987</v>
      </c>
      <c r="F42" s="366"/>
      <c r="G42" s="35"/>
      <c r="H42" s="35"/>
    </row>
    <row r="43" spans="1:17">
      <c r="A43" s="1965"/>
      <c r="B43" s="1966"/>
      <c r="C43" s="362">
        <v>2017</v>
      </c>
      <c r="D43" s="367">
        <f>22896</f>
        <v>22896</v>
      </c>
      <c r="E43" s="368">
        <f>6634</f>
        <v>6634</v>
      </c>
      <c r="F43" s="361"/>
      <c r="G43" s="35"/>
      <c r="H43" s="35"/>
    </row>
    <row r="44" spans="1:17">
      <c r="A44" s="1965"/>
      <c r="B44" s="1966"/>
      <c r="C44" s="362">
        <v>2018</v>
      </c>
      <c r="D44" s="367"/>
      <c r="E44" s="368"/>
      <c r="F44" s="361"/>
      <c r="G44" s="35"/>
      <c r="H44" s="35"/>
    </row>
    <row r="45" spans="1:17">
      <c r="A45" s="1965"/>
      <c r="B45" s="1966"/>
      <c r="C45" s="362">
        <v>2019</v>
      </c>
      <c r="D45" s="367"/>
      <c r="E45" s="368"/>
      <c r="F45" s="361"/>
      <c r="G45" s="35"/>
      <c r="H45" s="35"/>
    </row>
    <row r="46" spans="1:17">
      <c r="A46" s="1965"/>
      <c r="B46" s="1966"/>
      <c r="C46" s="362">
        <v>2020</v>
      </c>
      <c r="D46" s="367"/>
      <c r="E46" s="368"/>
      <c r="F46" s="361"/>
      <c r="G46" s="35"/>
      <c r="H46" s="35"/>
    </row>
    <row r="47" spans="1:17" ht="15.75" thickBot="1">
      <c r="A47" s="1967"/>
      <c r="B47" s="1968"/>
      <c r="C47" s="369" t="s">
        <v>13</v>
      </c>
      <c r="D47" s="370">
        <f>SUM(D40:D46)</f>
        <v>68389</v>
      </c>
      <c r="E47" s="371">
        <f>SUM(E40:E46)</f>
        <v>20259</v>
      </c>
      <c r="F47" s="366"/>
      <c r="G47" s="35"/>
      <c r="H47" s="35"/>
    </row>
    <row r="48" spans="1:17" s="35" customFormat="1" ht="15.75" thickBot="1">
      <c r="A48" s="79"/>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1969" t="s">
        <v>44</v>
      </c>
      <c r="B60" s="95"/>
      <c r="C60" s="1971" t="s">
        <v>9</v>
      </c>
      <c r="D60" s="1941" t="s">
        <v>45</v>
      </c>
      <c r="E60" s="96" t="s">
        <v>6</v>
      </c>
      <c r="F60" s="97"/>
      <c r="G60" s="97"/>
      <c r="H60" s="97"/>
      <c r="I60" s="97"/>
      <c r="J60" s="97"/>
      <c r="K60" s="97"/>
      <c r="L60" s="98"/>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933" t="s">
        <v>176</v>
      </c>
      <c r="B62" s="1934"/>
      <c r="C62" s="106">
        <v>2014</v>
      </c>
      <c r="D62" s="107"/>
      <c r="E62" s="108"/>
      <c r="F62" s="109"/>
      <c r="G62" s="109"/>
      <c r="H62" s="109"/>
      <c r="I62" s="109"/>
      <c r="J62" s="109"/>
      <c r="K62" s="109"/>
      <c r="L62" s="34"/>
      <c r="M62" s="7"/>
      <c r="N62" s="7"/>
      <c r="O62" s="7"/>
    </row>
    <row r="63" spans="1:15">
      <c r="A63" s="1933"/>
      <c r="B63" s="1934"/>
      <c r="C63" s="110">
        <v>2015</v>
      </c>
      <c r="D63" s="111"/>
      <c r="E63" s="112"/>
      <c r="F63" s="38"/>
      <c r="G63" s="38"/>
      <c r="H63" s="38"/>
      <c r="I63" s="38"/>
      <c r="J63" s="38"/>
      <c r="K63" s="38"/>
      <c r="L63" s="88"/>
      <c r="M63" s="7"/>
      <c r="N63" s="7"/>
      <c r="O63" s="7"/>
    </row>
    <row r="64" spans="1:15">
      <c r="A64" s="1933"/>
      <c r="B64" s="1934"/>
      <c r="C64" s="110">
        <v>2016</v>
      </c>
      <c r="D64" s="374">
        <v>4</v>
      </c>
      <c r="E64" s="375"/>
      <c r="F64" s="374"/>
      <c r="G64" s="374"/>
      <c r="H64" s="374"/>
      <c r="I64" s="374"/>
      <c r="J64" s="374"/>
      <c r="K64" s="374"/>
      <c r="L64" s="376">
        <v>4</v>
      </c>
      <c r="M64" s="377"/>
      <c r="N64" s="377"/>
      <c r="O64" s="7"/>
    </row>
    <row r="65" spans="1:20">
      <c r="A65" s="1933"/>
      <c r="B65" s="1934"/>
      <c r="C65" s="110">
        <v>2017</v>
      </c>
      <c r="D65" s="378">
        <f>1+6</f>
        <v>7</v>
      </c>
      <c r="E65" s="379">
        <f>1+1</f>
        <v>2</v>
      </c>
      <c r="F65" s="378">
        <f>1</f>
        <v>1</v>
      </c>
      <c r="G65" s="378">
        <f>1</f>
        <v>1</v>
      </c>
      <c r="H65" s="378">
        <f>1+1</f>
        <v>2</v>
      </c>
      <c r="I65" s="378"/>
      <c r="J65" s="378"/>
      <c r="K65" s="378"/>
      <c r="L65" s="380">
        <f>1</f>
        <v>1</v>
      </c>
      <c r="M65" s="377"/>
      <c r="N65" s="377"/>
      <c r="O65" s="7"/>
    </row>
    <row r="66" spans="1:20">
      <c r="A66" s="1933"/>
      <c r="B66" s="1934"/>
      <c r="C66" s="110">
        <v>2018</v>
      </c>
      <c r="D66" s="378"/>
      <c r="E66" s="379"/>
      <c r="F66" s="378"/>
      <c r="G66" s="378"/>
      <c r="H66" s="378"/>
      <c r="I66" s="378"/>
      <c r="J66" s="378"/>
      <c r="K66" s="378"/>
      <c r="L66" s="380"/>
      <c r="M66" s="377"/>
      <c r="N66" s="377"/>
      <c r="O66" s="7"/>
    </row>
    <row r="67" spans="1:20" ht="17.25" customHeight="1">
      <c r="A67" s="1933"/>
      <c r="B67" s="1934"/>
      <c r="C67" s="110">
        <v>2019</v>
      </c>
      <c r="D67" s="378"/>
      <c r="E67" s="379"/>
      <c r="F67" s="378"/>
      <c r="G67" s="378"/>
      <c r="H67" s="378"/>
      <c r="I67" s="378"/>
      <c r="J67" s="378"/>
      <c r="K67" s="378"/>
      <c r="L67" s="380"/>
      <c r="M67" s="377"/>
      <c r="N67" s="377"/>
      <c r="O67" s="7"/>
    </row>
    <row r="68" spans="1:20" ht="16.5" customHeight="1">
      <c r="A68" s="1933"/>
      <c r="B68" s="1934"/>
      <c r="C68" s="110">
        <v>2020</v>
      </c>
      <c r="D68" s="378"/>
      <c r="E68" s="379"/>
      <c r="F68" s="378"/>
      <c r="G68" s="378"/>
      <c r="H68" s="378"/>
      <c r="I68" s="378"/>
      <c r="J68" s="378"/>
      <c r="K68" s="378"/>
      <c r="L68" s="380"/>
      <c r="M68" s="381"/>
      <c r="N68" s="381"/>
      <c r="O68" s="78"/>
    </row>
    <row r="69" spans="1:20" ht="67.5" customHeight="1" thickBot="1">
      <c r="A69" s="1935"/>
      <c r="B69" s="1936"/>
      <c r="C69" s="113" t="s">
        <v>13</v>
      </c>
      <c r="D69" s="114">
        <f>SUM(D62:D68)</f>
        <v>11</v>
      </c>
      <c r="E69" s="115">
        <f>SUM(E62:E68)</f>
        <v>2</v>
      </c>
      <c r="F69" s="116">
        <f t="shared" ref="F69:I69" si="4">SUM(F62:F68)</f>
        <v>1</v>
      </c>
      <c r="G69" s="116">
        <f t="shared" si="4"/>
        <v>1</v>
      </c>
      <c r="H69" s="116">
        <f t="shared" si="4"/>
        <v>2</v>
      </c>
      <c r="I69" s="116">
        <f t="shared" si="4"/>
        <v>0</v>
      </c>
      <c r="J69" s="116"/>
      <c r="K69" s="116">
        <f>SUM(K62:K68)</f>
        <v>0</v>
      </c>
      <c r="L69" s="117">
        <f>SUM(L62:L68)</f>
        <v>5</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66"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937" t="s">
        <v>177</v>
      </c>
      <c r="B72" s="1934"/>
      <c r="C72" s="382">
        <v>2014</v>
      </c>
      <c r="D72" s="383"/>
      <c r="E72" s="383"/>
      <c r="F72" s="383"/>
      <c r="G72" s="384">
        <f>SUM(D72:F72)</f>
        <v>0</v>
      </c>
      <c r="H72" s="214"/>
      <c r="I72" s="385"/>
      <c r="J72" s="386"/>
      <c r="K72" s="386"/>
      <c r="L72" s="386"/>
      <c r="M72" s="386"/>
      <c r="N72" s="386"/>
      <c r="O72" s="387"/>
    </row>
    <row r="73" spans="1:20">
      <c r="A73" s="1937"/>
      <c r="B73" s="1934"/>
      <c r="C73" s="388">
        <v>2015</v>
      </c>
      <c r="D73" s="389">
        <f>3+3</f>
        <v>6</v>
      </c>
      <c r="E73" s="389">
        <v>1</v>
      </c>
      <c r="F73" s="389"/>
      <c r="G73" s="384">
        <f t="shared" ref="G73:G78" si="5">SUM(D73:F73)</f>
        <v>7</v>
      </c>
      <c r="H73" s="336">
        <f>3</f>
        <v>3</v>
      </c>
      <c r="I73" s="336"/>
      <c r="J73" s="255"/>
      <c r="K73" s="255">
        <f>2+1</f>
        <v>3</v>
      </c>
      <c r="L73" s="255">
        <v>1</v>
      </c>
      <c r="M73" s="178"/>
      <c r="N73" s="178"/>
      <c r="O73" s="179"/>
    </row>
    <row r="74" spans="1:20">
      <c r="A74" s="1937"/>
      <c r="B74" s="1934"/>
      <c r="C74" s="388">
        <v>2016</v>
      </c>
      <c r="D74" s="389">
        <f>7+1</f>
        <v>8</v>
      </c>
      <c r="E74" s="389">
        <v>2</v>
      </c>
      <c r="F74" s="389"/>
      <c r="G74" s="384">
        <f t="shared" si="5"/>
        <v>10</v>
      </c>
      <c r="H74" s="336"/>
      <c r="I74" s="336"/>
      <c r="J74" s="255"/>
      <c r="K74" s="255">
        <f>5+1</f>
        <v>6</v>
      </c>
      <c r="L74" s="255">
        <v>2</v>
      </c>
      <c r="M74" s="178"/>
      <c r="N74" s="178"/>
      <c r="O74" s="256">
        <f>1+1</f>
        <v>2</v>
      </c>
    </row>
    <row r="75" spans="1:20">
      <c r="A75" s="1937"/>
      <c r="B75" s="1934"/>
      <c r="C75" s="388">
        <v>2017</v>
      </c>
      <c r="D75" s="390">
        <f>7+10+10</f>
        <v>27</v>
      </c>
      <c r="E75" s="390"/>
      <c r="F75" s="390"/>
      <c r="G75" s="384">
        <f t="shared" si="5"/>
        <v>27</v>
      </c>
      <c r="H75" s="336">
        <f>10</f>
        <v>10</v>
      </c>
      <c r="I75" s="336"/>
      <c r="J75" s="255">
        <f>10</f>
        <v>10</v>
      </c>
      <c r="K75" s="255">
        <v>7</v>
      </c>
      <c r="L75" s="255"/>
      <c r="M75" s="178"/>
      <c r="N75" s="178"/>
      <c r="O75" s="179"/>
    </row>
    <row r="76" spans="1:20">
      <c r="A76" s="1937"/>
      <c r="B76" s="1934"/>
      <c r="C76" s="388">
        <v>2018</v>
      </c>
      <c r="D76" s="390"/>
      <c r="E76" s="390"/>
      <c r="F76" s="390"/>
      <c r="G76" s="384">
        <f t="shared" si="5"/>
        <v>0</v>
      </c>
      <c r="H76" s="217"/>
      <c r="I76" s="217"/>
      <c r="J76" s="178"/>
      <c r="K76" s="178"/>
      <c r="L76" s="178"/>
      <c r="M76" s="178"/>
      <c r="N76" s="178"/>
      <c r="O76" s="179"/>
    </row>
    <row r="77" spans="1:20" ht="15.75" customHeight="1">
      <c r="A77" s="1937"/>
      <c r="B77" s="1934"/>
      <c r="C77" s="388">
        <v>2019</v>
      </c>
      <c r="D77" s="390"/>
      <c r="E77" s="390"/>
      <c r="F77" s="390"/>
      <c r="G77" s="384">
        <f t="shared" si="5"/>
        <v>0</v>
      </c>
      <c r="H77" s="217"/>
      <c r="I77" s="217"/>
      <c r="J77" s="178"/>
      <c r="K77" s="178"/>
      <c r="L77" s="178"/>
      <c r="M77" s="178"/>
      <c r="N77" s="178"/>
      <c r="O77" s="179"/>
    </row>
    <row r="78" spans="1:20" ht="17.25" customHeight="1">
      <c r="A78" s="1937"/>
      <c r="B78" s="1934"/>
      <c r="C78" s="388">
        <v>2020</v>
      </c>
      <c r="D78" s="390"/>
      <c r="E78" s="390"/>
      <c r="F78" s="390"/>
      <c r="G78" s="384">
        <f t="shared" si="5"/>
        <v>0</v>
      </c>
      <c r="H78" s="217"/>
      <c r="I78" s="217"/>
      <c r="J78" s="178"/>
      <c r="K78" s="178"/>
      <c r="L78" s="178"/>
      <c r="M78" s="178"/>
      <c r="N78" s="178"/>
      <c r="O78" s="179"/>
    </row>
    <row r="79" spans="1:20" ht="20.25" customHeight="1" thickBot="1">
      <c r="A79" s="1935"/>
      <c r="B79" s="1936"/>
      <c r="C79" s="391" t="s">
        <v>13</v>
      </c>
      <c r="D79" s="114">
        <f>SUM(D72:D78)</f>
        <v>41</v>
      </c>
      <c r="E79" s="114">
        <f>SUM(E72:E78)</f>
        <v>3</v>
      </c>
      <c r="F79" s="114">
        <f>SUM(F72:F78)</f>
        <v>0</v>
      </c>
      <c r="G79" s="392">
        <f>SUM(G72:G78)</f>
        <v>44</v>
      </c>
      <c r="H79" s="393">
        <f>SUM(H73:H78)</f>
        <v>13</v>
      </c>
      <c r="I79" s="221">
        <f t="shared" ref="I79:O79" si="6">SUM(I72:I78)</f>
        <v>0</v>
      </c>
      <c r="J79" s="181">
        <f t="shared" si="6"/>
        <v>10</v>
      </c>
      <c r="K79" s="181">
        <f t="shared" si="6"/>
        <v>16</v>
      </c>
      <c r="L79" s="181">
        <f t="shared" si="6"/>
        <v>3</v>
      </c>
      <c r="M79" s="181">
        <f t="shared" si="6"/>
        <v>0</v>
      </c>
      <c r="N79" s="181">
        <f t="shared" si="6"/>
        <v>0</v>
      </c>
      <c r="O79" s="182">
        <f t="shared" si="6"/>
        <v>2</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50.75" customHeight="1">
      <c r="A84" s="147" t="s">
        <v>56</v>
      </c>
      <c r="B84" s="394"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918" t="s">
        <v>180</v>
      </c>
      <c r="B98" s="1921"/>
      <c r="C98" s="106">
        <v>2014</v>
      </c>
      <c r="D98" s="30"/>
      <c r="E98" s="31"/>
      <c r="F98" s="174"/>
      <c r="G98" s="175"/>
      <c r="H98" s="175"/>
      <c r="I98" s="175"/>
      <c r="J98" s="175"/>
      <c r="K98" s="175"/>
      <c r="L98" s="175"/>
      <c r="M98" s="176"/>
      <c r="N98" s="165"/>
      <c r="O98" s="165"/>
      <c r="P98" s="165"/>
    </row>
    <row r="99" spans="1:16" ht="16.5" customHeight="1">
      <c r="A99" s="1919"/>
      <c r="B99" s="1922"/>
      <c r="C99" s="110">
        <v>2015</v>
      </c>
      <c r="D99" s="395">
        <v>1</v>
      </c>
      <c r="E99" s="339">
        <v>3</v>
      </c>
      <c r="F99" s="177"/>
      <c r="G99" s="178"/>
      <c r="H99" s="178"/>
      <c r="I99" s="178"/>
      <c r="J99" s="178"/>
      <c r="K99" s="178"/>
      <c r="L99" s="178"/>
      <c r="M99" s="396">
        <v>1</v>
      </c>
      <c r="N99" s="165"/>
      <c r="O99" s="165"/>
      <c r="P99" s="165"/>
    </row>
    <row r="100" spans="1:16" ht="16.5" customHeight="1">
      <c r="A100" s="1919"/>
      <c r="B100" s="1922"/>
      <c r="C100" s="110">
        <v>2016</v>
      </c>
      <c r="D100" s="336">
        <v>1</v>
      </c>
      <c r="E100" s="255">
        <v>9</v>
      </c>
      <c r="F100" s="177"/>
      <c r="G100" s="178"/>
      <c r="H100" s="178"/>
      <c r="I100" s="178"/>
      <c r="J100" s="178"/>
      <c r="K100" s="178"/>
      <c r="L100" s="178"/>
      <c r="M100" s="397">
        <v>1</v>
      </c>
      <c r="N100" s="165"/>
      <c r="O100" s="165"/>
      <c r="P100" s="165"/>
    </row>
    <row r="101" spans="1:16" ht="16.5" customHeight="1">
      <c r="A101" s="1919"/>
      <c r="B101" s="1922"/>
      <c r="C101" s="110">
        <v>2017</v>
      </c>
      <c r="D101" s="336">
        <v>1</v>
      </c>
      <c r="E101" s="255">
        <v>8</v>
      </c>
      <c r="F101" s="177"/>
      <c r="G101" s="178"/>
      <c r="H101" s="178"/>
      <c r="I101" s="178"/>
      <c r="J101" s="178"/>
      <c r="K101" s="178"/>
      <c r="L101" s="178"/>
      <c r="M101" s="179">
        <v>1</v>
      </c>
      <c r="N101" s="165"/>
      <c r="O101" s="165"/>
      <c r="P101" s="165"/>
    </row>
    <row r="102" spans="1:16" ht="15.75" customHeight="1">
      <c r="A102" s="1919"/>
      <c r="B102" s="1922"/>
      <c r="C102" s="110">
        <v>2018</v>
      </c>
      <c r="D102" s="217"/>
      <c r="E102" s="178"/>
      <c r="F102" s="177"/>
      <c r="G102" s="178"/>
      <c r="H102" s="178"/>
      <c r="I102" s="178"/>
      <c r="J102" s="178"/>
      <c r="K102" s="178"/>
      <c r="L102" s="178"/>
      <c r="M102" s="179"/>
      <c r="N102" s="165"/>
      <c r="O102" s="165"/>
      <c r="P102" s="165"/>
    </row>
    <row r="103" spans="1:16" ht="14.25" customHeight="1">
      <c r="A103" s="1919"/>
      <c r="B103" s="1922"/>
      <c r="C103" s="110">
        <v>2019</v>
      </c>
      <c r="D103" s="217"/>
      <c r="E103" s="178"/>
      <c r="F103" s="177"/>
      <c r="G103" s="178"/>
      <c r="H103" s="178"/>
      <c r="I103" s="178"/>
      <c r="J103" s="178"/>
      <c r="K103" s="178"/>
      <c r="L103" s="178"/>
      <c r="M103" s="179"/>
      <c r="N103" s="165"/>
      <c r="O103" s="165"/>
      <c r="P103" s="165"/>
    </row>
    <row r="104" spans="1:16" ht="14.25" customHeight="1">
      <c r="A104" s="1919"/>
      <c r="B104" s="1922"/>
      <c r="C104" s="110">
        <v>2020</v>
      </c>
      <c r="D104" s="37"/>
      <c r="E104" s="38"/>
      <c r="F104" s="177"/>
      <c r="G104" s="178"/>
      <c r="H104" s="178"/>
      <c r="I104" s="178"/>
      <c r="J104" s="178"/>
      <c r="K104" s="178"/>
      <c r="L104" s="178"/>
      <c r="M104" s="179"/>
      <c r="N104" s="165"/>
      <c r="O104" s="165"/>
      <c r="P104" s="165"/>
    </row>
    <row r="105" spans="1:16" ht="19.5" customHeight="1" thickBot="1">
      <c r="A105" s="1920"/>
      <c r="B105" s="1923"/>
      <c r="C105" s="113" t="s">
        <v>13</v>
      </c>
      <c r="D105" s="139">
        <f>SUM(D98:D104)</f>
        <v>3</v>
      </c>
      <c r="E105" s="116">
        <f t="shared" ref="E105:K105" si="8">SUM(E98:E104)</f>
        <v>20</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928"/>
      <c r="B109" s="1929"/>
      <c r="C109" s="106">
        <v>2014</v>
      </c>
      <c r="D109" s="31"/>
      <c r="E109" s="174"/>
      <c r="F109" s="175"/>
      <c r="G109" s="175"/>
      <c r="H109" s="175"/>
      <c r="I109" s="175"/>
      <c r="J109" s="175"/>
      <c r="K109" s="175"/>
      <c r="L109" s="176"/>
      <c r="M109" s="185"/>
      <c r="N109" s="185"/>
    </row>
    <row r="110" spans="1:16">
      <c r="A110" s="1930"/>
      <c r="B110" s="1929"/>
      <c r="C110" s="110">
        <v>2015</v>
      </c>
      <c r="D110" s="38"/>
      <c r="E110" s="177"/>
      <c r="F110" s="178"/>
      <c r="G110" s="178"/>
      <c r="H110" s="178"/>
      <c r="I110" s="178"/>
      <c r="J110" s="178"/>
      <c r="K110" s="178"/>
      <c r="L110" s="179"/>
      <c r="M110" s="185"/>
      <c r="N110" s="185"/>
    </row>
    <row r="111" spans="1:16">
      <c r="A111" s="1930"/>
      <c r="B111" s="1929"/>
      <c r="C111" s="110">
        <v>2016</v>
      </c>
      <c r="D111" s="38"/>
      <c r="E111" s="177"/>
      <c r="F111" s="178"/>
      <c r="G111" s="178"/>
      <c r="H111" s="178"/>
      <c r="I111" s="178"/>
      <c r="J111" s="178"/>
      <c r="K111" s="178"/>
      <c r="L111" s="179"/>
      <c r="M111" s="185"/>
      <c r="N111" s="185"/>
    </row>
    <row r="112" spans="1:16">
      <c r="A112" s="1930"/>
      <c r="B112" s="1929"/>
      <c r="C112" s="110">
        <v>2017</v>
      </c>
      <c r="D112" s="38"/>
      <c r="E112" s="177"/>
      <c r="F112" s="178"/>
      <c r="G112" s="178"/>
      <c r="H112" s="178"/>
      <c r="I112" s="178"/>
      <c r="J112" s="178"/>
      <c r="K112" s="178"/>
      <c r="L112" s="179"/>
      <c r="M112" s="185"/>
      <c r="N112" s="185"/>
    </row>
    <row r="113" spans="1:14">
      <c r="A113" s="1930"/>
      <c r="B113" s="1929"/>
      <c r="C113" s="110">
        <v>2018</v>
      </c>
      <c r="D113" s="38"/>
      <c r="E113" s="177"/>
      <c r="F113" s="178"/>
      <c r="G113" s="178"/>
      <c r="H113" s="178"/>
      <c r="I113" s="178"/>
      <c r="J113" s="178"/>
      <c r="K113" s="178"/>
      <c r="L113" s="179"/>
      <c r="M113" s="185"/>
      <c r="N113" s="185"/>
    </row>
    <row r="114" spans="1:14">
      <c r="A114" s="1930"/>
      <c r="B114" s="1929"/>
      <c r="C114" s="110">
        <v>2019</v>
      </c>
      <c r="D114" s="38"/>
      <c r="E114" s="177"/>
      <c r="F114" s="178"/>
      <c r="G114" s="178"/>
      <c r="H114" s="178"/>
      <c r="I114" s="178"/>
      <c r="J114" s="178"/>
      <c r="K114" s="178"/>
      <c r="L114" s="179"/>
      <c r="M114" s="185"/>
      <c r="N114" s="185"/>
    </row>
    <row r="115" spans="1:14">
      <c r="A115" s="1930"/>
      <c r="B115" s="1929"/>
      <c r="C115" s="110">
        <v>2020</v>
      </c>
      <c r="D115" s="38"/>
      <c r="E115" s="177"/>
      <c r="F115" s="178"/>
      <c r="G115" s="178"/>
      <c r="H115" s="178"/>
      <c r="I115" s="178"/>
      <c r="J115" s="178"/>
      <c r="K115" s="178"/>
      <c r="L115" s="179"/>
      <c r="M115" s="185"/>
      <c r="N115" s="185"/>
    </row>
    <row r="116" spans="1:14" ht="25.5" customHeight="1" thickBot="1">
      <c r="A116" s="1931"/>
      <c r="B116" s="1932"/>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12"/>
      <c r="C130" s="192"/>
      <c r="D130" s="166" t="s">
        <v>86</v>
      </c>
      <c r="E130" s="398" t="s">
        <v>87</v>
      </c>
      <c r="F130" s="167" t="s">
        <v>88</v>
      </c>
      <c r="G130" s="194" t="s">
        <v>13</v>
      </c>
      <c r="H130" s="185"/>
      <c r="I130" s="185"/>
      <c r="J130" s="185"/>
      <c r="K130" s="185"/>
      <c r="L130" s="185"/>
      <c r="M130" s="185"/>
      <c r="N130" s="185"/>
    </row>
    <row r="131" spans="1:16" ht="15" customHeight="1">
      <c r="A131" s="1874"/>
      <c r="B131" s="1855"/>
      <c r="C131" s="399">
        <v>2015</v>
      </c>
      <c r="D131" s="400">
        <v>21</v>
      </c>
      <c r="E131" s="401"/>
      <c r="F131" s="401"/>
      <c r="G131" s="402">
        <f t="shared" ref="G131:G136" si="11">SUM(D131:F131)</f>
        <v>21</v>
      </c>
      <c r="H131" s="185"/>
      <c r="I131" s="185"/>
      <c r="J131" s="185"/>
      <c r="K131" s="185"/>
      <c r="L131" s="185"/>
      <c r="M131" s="185"/>
      <c r="N131" s="185"/>
    </row>
    <row r="132" spans="1:16">
      <c r="A132" s="1854"/>
      <c r="B132" s="1855"/>
      <c r="C132" s="403">
        <v>2016</v>
      </c>
      <c r="D132" s="363">
        <f>9*13</f>
        <v>117</v>
      </c>
      <c r="E132" s="378"/>
      <c r="F132" s="378"/>
      <c r="G132" s="402">
        <f>SUM(D132:F132)</f>
        <v>117</v>
      </c>
      <c r="H132" s="185"/>
      <c r="I132" s="185"/>
      <c r="J132" s="185"/>
      <c r="K132" s="185"/>
      <c r="L132" s="185"/>
      <c r="M132" s="185"/>
      <c r="N132" s="185"/>
    </row>
    <row r="133" spans="1:16">
      <c r="A133" s="1854"/>
      <c r="B133" s="1855"/>
      <c r="C133" s="403">
        <v>2017</v>
      </c>
      <c r="D133" s="404">
        <f>8*13</f>
        <v>104</v>
      </c>
      <c r="E133" s="378"/>
      <c r="F133" s="378"/>
      <c r="G133" s="402">
        <f t="shared" si="11"/>
        <v>104</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242</v>
      </c>
      <c r="E137" s="139">
        <f t="shared" ref="E137:F137" si="12">SUM(E131:E136)</f>
        <v>0</v>
      </c>
      <c r="F137" s="139">
        <f t="shared" si="12"/>
        <v>0</v>
      </c>
      <c r="G137" s="196">
        <f>SUM(G131:G136)</f>
        <v>242</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57.75" customHeight="1">
      <c r="A153" s="190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183</v>
      </c>
      <c r="B178" s="1892"/>
      <c r="C178" s="106">
        <v>2014</v>
      </c>
      <c r="D178" s="30"/>
      <c r="E178" s="31"/>
      <c r="F178" s="31"/>
      <c r="G178" s="284">
        <f>SUM(D178:F178)</f>
        <v>0</v>
      </c>
      <c r="H178" s="155"/>
      <c r="I178" s="155"/>
      <c r="J178" s="31"/>
      <c r="K178" s="31"/>
      <c r="L178" s="31"/>
      <c r="M178" s="31"/>
      <c r="N178" s="31"/>
      <c r="O178" s="34"/>
    </row>
    <row r="179" spans="1:15">
      <c r="A179" s="1891"/>
      <c r="B179" s="1892"/>
      <c r="C179" s="110">
        <v>2015</v>
      </c>
      <c r="D179" s="395">
        <v>3</v>
      </c>
      <c r="E179" s="38"/>
      <c r="F179" s="38"/>
      <c r="G179" s="284">
        <f t="shared" ref="G179:G184" si="19">SUM(D179:F179)</f>
        <v>3</v>
      </c>
      <c r="H179" s="411">
        <v>3</v>
      </c>
      <c r="I179" s="112"/>
      <c r="J179" s="38"/>
      <c r="K179" s="38"/>
      <c r="L179" s="339">
        <v>2</v>
      </c>
      <c r="M179" s="339">
        <v>1</v>
      </c>
      <c r="N179" s="38"/>
      <c r="O179" s="88"/>
    </row>
    <row r="180" spans="1:15">
      <c r="A180" s="1891"/>
      <c r="B180" s="1892"/>
      <c r="C180" s="110">
        <v>2016</v>
      </c>
      <c r="D180" s="336">
        <v>4</v>
      </c>
      <c r="E180" s="178"/>
      <c r="F180" s="178"/>
      <c r="G180" s="213">
        <f t="shared" si="19"/>
        <v>4</v>
      </c>
      <c r="H180" s="412">
        <v>4</v>
      </c>
      <c r="I180" s="177"/>
      <c r="J180" s="178"/>
      <c r="K180" s="178"/>
      <c r="L180" s="255">
        <v>3</v>
      </c>
      <c r="M180" s="255">
        <v>1</v>
      </c>
      <c r="N180" s="178"/>
      <c r="O180" s="88"/>
    </row>
    <row r="181" spans="1:15">
      <c r="A181" s="1891"/>
      <c r="B181" s="1892"/>
      <c r="C181" s="110">
        <v>2017</v>
      </c>
      <c r="D181" s="336">
        <v>27</v>
      </c>
      <c r="E181" s="178">
        <v>1</v>
      </c>
      <c r="F181" s="178"/>
      <c r="G181" s="213">
        <f t="shared" si="19"/>
        <v>28</v>
      </c>
      <c r="H181" s="412">
        <f>4+8</f>
        <v>12</v>
      </c>
      <c r="I181" s="177">
        <f>10+3+6</f>
        <v>19</v>
      </c>
      <c r="J181" s="178"/>
      <c r="K181" s="178"/>
      <c r="L181" s="178">
        <f>3+5</f>
        <v>8</v>
      </c>
      <c r="M181" s="178">
        <v>1</v>
      </c>
      <c r="N181" s="178"/>
      <c r="O181" s="88"/>
    </row>
    <row r="182" spans="1:15">
      <c r="A182" s="1891"/>
      <c r="B182" s="1892"/>
      <c r="C182" s="110">
        <v>2018</v>
      </c>
      <c r="D182" s="37"/>
      <c r="E182" s="38"/>
      <c r="F182" s="38"/>
      <c r="G182" s="284">
        <f t="shared" si="19"/>
        <v>0</v>
      </c>
      <c r="H182" s="411"/>
      <c r="I182" s="112"/>
      <c r="J182" s="38"/>
      <c r="K182" s="38"/>
      <c r="L182" s="38"/>
      <c r="M182" s="38"/>
      <c r="N182" s="38"/>
      <c r="O182" s="88"/>
    </row>
    <row r="183" spans="1:15">
      <c r="A183" s="1891"/>
      <c r="B183" s="1892"/>
      <c r="C183" s="110">
        <v>2019</v>
      </c>
      <c r="D183" s="37"/>
      <c r="E183" s="38"/>
      <c r="F183" s="38"/>
      <c r="G183" s="284">
        <f t="shared" si="19"/>
        <v>0</v>
      </c>
      <c r="H183" s="411"/>
      <c r="I183" s="112"/>
      <c r="J183" s="38"/>
      <c r="K183" s="38"/>
      <c r="L183" s="38"/>
      <c r="M183" s="38"/>
      <c r="N183" s="38"/>
      <c r="O183" s="88"/>
    </row>
    <row r="184" spans="1:15">
      <c r="A184" s="1891"/>
      <c r="B184" s="1892"/>
      <c r="C184" s="110">
        <v>2020</v>
      </c>
      <c r="D184" s="37"/>
      <c r="E184" s="38"/>
      <c r="F184" s="38"/>
      <c r="G184" s="284">
        <f t="shared" si="19"/>
        <v>0</v>
      </c>
      <c r="H184" s="411"/>
      <c r="I184" s="112"/>
      <c r="J184" s="38"/>
      <c r="K184" s="38"/>
      <c r="L184" s="38"/>
      <c r="M184" s="38"/>
      <c r="N184" s="38"/>
      <c r="O184" s="88"/>
    </row>
    <row r="185" spans="1:15" ht="78.75" customHeight="1" thickBot="1">
      <c r="A185" s="1893"/>
      <c r="B185" s="1894"/>
      <c r="C185" s="113" t="s">
        <v>13</v>
      </c>
      <c r="D185" s="139">
        <f>SUM(D178:D184)</f>
        <v>34</v>
      </c>
      <c r="E185" s="116">
        <f>SUM(E178:E184)</f>
        <v>1</v>
      </c>
      <c r="F185" s="116">
        <f>SUM(F178:F184)</f>
        <v>0</v>
      </c>
      <c r="G185" s="220">
        <f t="shared" ref="G185:O185" si="20">SUM(G178:G184)</f>
        <v>35</v>
      </c>
      <c r="H185" s="285">
        <f t="shared" si="20"/>
        <v>19</v>
      </c>
      <c r="I185" s="115">
        <f t="shared" si="20"/>
        <v>19</v>
      </c>
      <c r="J185" s="116">
        <f t="shared" si="20"/>
        <v>0</v>
      </c>
      <c r="K185" s="116">
        <f t="shared" si="20"/>
        <v>0</v>
      </c>
      <c r="L185" s="116">
        <f t="shared" si="20"/>
        <v>13</v>
      </c>
      <c r="M185" s="116">
        <f t="shared" si="20"/>
        <v>3</v>
      </c>
      <c r="N185" s="116">
        <f t="shared" si="20"/>
        <v>0</v>
      </c>
      <c r="O185" s="117">
        <f t="shared" si="20"/>
        <v>0</v>
      </c>
    </row>
    <row r="186" spans="1:15" ht="33" customHeight="1" thickBot="1"/>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872" t="s">
        <v>184</v>
      </c>
      <c r="B189" s="1873"/>
      <c r="C189" s="413">
        <v>2014</v>
      </c>
      <c r="D189" s="133"/>
      <c r="E189" s="109"/>
      <c r="F189" s="109"/>
      <c r="G189" s="291">
        <f>SUM(D189:F189)</f>
        <v>0</v>
      </c>
      <c r="H189" s="108"/>
      <c r="I189" s="109"/>
      <c r="J189" s="109"/>
      <c r="K189" s="109"/>
      <c r="L189" s="134"/>
    </row>
    <row r="190" spans="1:15">
      <c r="A190" s="1874"/>
      <c r="B190" s="1875"/>
      <c r="C190" s="414">
        <v>2015</v>
      </c>
      <c r="D190" s="217">
        <v>197</v>
      </c>
      <c r="E190" s="178"/>
      <c r="F190" s="178"/>
      <c r="G190" s="415">
        <f t="shared" ref="G190:G195" si="21">SUM(D190:F190)</f>
        <v>197</v>
      </c>
      <c r="H190" s="177">
        <v>0</v>
      </c>
      <c r="I190" s="178">
        <v>54</v>
      </c>
      <c r="J190" s="178"/>
      <c r="K190" s="178"/>
      <c r="L190" s="179">
        <v>143</v>
      </c>
    </row>
    <row r="191" spans="1:15">
      <c r="A191" s="1874"/>
      <c r="B191" s="1875"/>
      <c r="C191" s="414">
        <v>2016</v>
      </c>
      <c r="D191" s="217">
        <v>221</v>
      </c>
      <c r="E191" s="178"/>
      <c r="F191" s="178"/>
      <c r="G191" s="415">
        <f t="shared" si="21"/>
        <v>221</v>
      </c>
      <c r="H191" s="177">
        <v>0</v>
      </c>
      <c r="I191" s="178">
        <v>55</v>
      </c>
      <c r="J191" s="178"/>
      <c r="K191" s="178"/>
      <c r="L191" s="179">
        <v>166</v>
      </c>
    </row>
    <row r="192" spans="1:15">
      <c r="A192" s="1874"/>
      <c r="B192" s="1875"/>
      <c r="C192" s="414">
        <v>2017</v>
      </c>
      <c r="D192" s="217">
        <v>1149</v>
      </c>
      <c r="E192" s="178">
        <v>60</v>
      </c>
      <c r="F192" s="178"/>
      <c r="G192" s="415">
        <f t="shared" si="21"/>
        <v>1209</v>
      </c>
      <c r="H192" s="177"/>
      <c r="I192" s="178">
        <f>40+407</f>
        <v>447</v>
      </c>
      <c r="J192" s="178"/>
      <c r="K192" s="178">
        <f>60+60+180</f>
        <v>300</v>
      </c>
      <c r="L192" s="179">
        <f>177+285</f>
        <v>462</v>
      </c>
    </row>
    <row r="193" spans="1:14">
      <c r="A193" s="1874"/>
      <c r="B193" s="1875"/>
      <c r="C193" s="414">
        <v>2018</v>
      </c>
      <c r="D193" s="37"/>
      <c r="E193" s="38"/>
      <c r="F193" s="38"/>
      <c r="G193" s="291">
        <f t="shared" si="21"/>
        <v>0</v>
      </c>
      <c r="H193" s="112"/>
      <c r="I193" s="38"/>
      <c r="J193" s="38"/>
      <c r="K193" s="38"/>
      <c r="L193" s="88"/>
    </row>
    <row r="194" spans="1:14">
      <c r="A194" s="1874"/>
      <c r="B194" s="1875"/>
      <c r="C194" s="414">
        <v>2019</v>
      </c>
      <c r="D194" s="37"/>
      <c r="E194" s="38"/>
      <c r="F194" s="38"/>
      <c r="G194" s="291">
        <f t="shared" si="21"/>
        <v>0</v>
      </c>
      <c r="H194" s="112"/>
      <c r="I194" s="38"/>
      <c r="J194" s="38"/>
      <c r="K194" s="38"/>
      <c r="L194" s="88"/>
    </row>
    <row r="195" spans="1:14">
      <c r="A195" s="1874"/>
      <c r="B195" s="1875"/>
      <c r="C195" s="414">
        <v>2020</v>
      </c>
      <c r="D195" s="37"/>
      <c r="E195" s="38"/>
      <c r="F195" s="38"/>
      <c r="G195" s="291">
        <f t="shared" si="21"/>
        <v>0</v>
      </c>
      <c r="H195" s="112"/>
      <c r="I195" s="38"/>
      <c r="J195" s="38"/>
      <c r="K195" s="38"/>
      <c r="L195" s="88"/>
    </row>
    <row r="196" spans="1:14" ht="15.75" thickBot="1">
      <c r="A196" s="1876"/>
      <c r="B196" s="1877"/>
      <c r="C196" s="416" t="s">
        <v>13</v>
      </c>
      <c r="D196" s="139">
        <f t="shared" ref="D196:L196" si="22">SUM(D189:D195)</f>
        <v>1567</v>
      </c>
      <c r="E196" s="116">
        <f t="shared" si="22"/>
        <v>60</v>
      </c>
      <c r="F196" s="116">
        <f t="shared" si="22"/>
        <v>0</v>
      </c>
      <c r="G196" s="292">
        <f t="shared" si="22"/>
        <v>1627</v>
      </c>
      <c r="H196" s="115">
        <f t="shared" si="22"/>
        <v>0</v>
      </c>
      <c r="I196" s="116">
        <f t="shared" si="22"/>
        <v>556</v>
      </c>
      <c r="J196" s="116">
        <f t="shared" si="22"/>
        <v>0</v>
      </c>
      <c r="K196" s="116">
        <f t="shared" si="22"/>
        <v>300</v>
      </c>
      <c r="L196" s="117">
        <f t="shared" si="22"/>
        <v>771</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296"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321" t="s">
        <v>161</v>
      </c>
      <c r="B212" s="322" t="s">
        <v>162</v>
      </c>
      <c r="C212" s="323">
        <v>2014</v>
      </c>
      <c r="D212" s="324">
        <v>2015</v>
      </c>
      <c r="E212" s="324">
        <v>2016</v>
      </c>
      <c r="F212" s="324">
        <v>2017</v>
      </c>
      <c r="G212" s="324">
        <v>2018</v>
      </c>
      <c r="H212" s="324">
        <v>2019</v>
      </c>
      <c r="I212" s="418">
        <v>2020</v>
      </c>
    </row>
    <row r="213" spans="1:12" ht="15" customHeight="1">
      <c r="A213" t="s">
        <v>163</v>
      </c>
      <c r="B213" s="1858" t="s">
        <v>185</v>
      </c>
      <c r="C213" s="72"/>
      <c r="D213" s="419">
        <f>D214+D216+D217</f>
        <v>272181.88</v>
      </c>
      <c r="E213" s="420">
        <f>E214+E216+E217</f>
        <v>627874.43000000005</v>
      </c>
      <c r="F213" s="420">
        <f>F214+F216+F217</f>
        <v>756072.35</v>
      </c>
      <c r="G213" s="135"/>
      <c r="H213" s="135"/>
      <c r="I213" s="326"/>
    </row>
    <row r="214" spans="1:12">
      <c r="A214" t="s">
        <v>164</v>
      </c>
      <c r="B214" s="1859"/>
      <c r="C214" s="72"/>
      <c r="D214" s="419">
        <f>45812.54+197206.34-67040.98-4858.5</f>
        <v>171119.40000000002</v>
      </c>
      <c r="E214" s="420">
        <f>452148.32-32338</f>
        <v>419810.32</v>
      </c>
      <c r="F214" s="420">
        <f>676547.35</f>
        <v>676547.35</v>
      </c>
      <c r="G214" s="135"/>
      <c r="H214" s="135"/>
      <c r="I214" s="326"/>
    </row>
    <row r="215" spans="1:12">
      <c r="A215" t="s">
        <v>165</v>
      </c>
      <c r="B215" s="1859"/>
      <c r="C215" s="72"/>
      <c r="D215" s="419">
        <v>0</v>
      </c>
      <c r="E215" s="420">
        <v>0</v>
      </c>
      <c r="F215" s="420">
        <v>0</v>
      </c>
      <c r="G215" s="135"/>
      <c r="H215" s="135"/>
      <c r="I215" s="326"/>
    </row>
    <row r="216" spans="1:12">
      <c r="A216" t="s">
        <v>166</v>
      </c>
      <c r="B216" s="1859"/>
      <c r="C216" s="72"/>
      <c r="D216" s="419">
        <f>18000+4858.5+67040.98</f>
        <v>89899.48</v>
      </c>
      <c r="E216" s="420">
        <f>73800+62715.08+13777.43+42000</f>
        <v>192292.51</v>
      </c>
      <c r="F216" s="420">
        <f>50000+12369</f>
        <v>62369</v>
      </c>
      <c r="G216" s="135"/>
      <c r="H216" s="135"/>
      <c r="I216" s="326"/>
    </row>
    <row r="217" spans="1:12">
      <c r="A217" t="s">
        <v>167</v>
      </c>
      <c r="B217" s="1859"/>
      <c r="C217" s="72"/>
      <c r="D217" s="419">
        <v>11163</v>
      </c>
      <c r="E217" s="420">
        <f>15771.6</f>
        <v>15771.6</v>
      </c>
      <c r="F217" s="420">
        <f>17156</f>
        <v>17156</v>
      </c>
      <c r="G217" s="135"/>
      <c r="H217" s="135"/>
      <c r="I217" s="73"/>
    </row>
    <row r="218" spans="1:12" ht="30">
      <c r="A218" s="56" t="s">
        <v>168</v>
      </c>
      <c r="B218" s="1859"/>
      <c r="C218" s="72"/>
      <c r="D218" s="419">
        <f>16911.27+86683.9+7302.12</f>
        <v>110897.29</v>
      </c>
      <c r="E218" s="420">
        <f>237305.13+36602.34+32338</f>
        <v>306245.46999999997</v>
      </c>
      <c r="F218" s="420">
        <f>220997.63+25468.82+145</f>
        <v>246611.45</v>
      </c>
      <c r="G218" s="135"/>
      <c r="H218" s="135"/>
      <c r="I218" s="326"/>
    </row>
    <row r="219" spans="1:12" ht="42.75" customHeight="1" thickBot="1">
      <c r="A219" s="331"/>
      <c r="B219" s="1860"/>
      <c r="C219" s="42" t="s">
        <v>13</v>
      </c>
      <c r="D219" s="333">
        <f>SUM(D214:D218)</f>
        <v>383079.17</v>
      </c>
      <c r="E219" s="421">
        <f t="shared" ref="E219:I219" si="24">SUM(E214:E218)</f>
        <v>934119.9</v>
      </c>
      <c r="F219" s="421">
        <f t="shared" si="24"/>
        <v>1002683.8</v>
      </c>
      <c r="G219" s="333">
        <f t="shared" si="24"/>
        <v>0</v>
      </c>
      <c r="H219" s="333">
        <f t="shared" si="24"/>
        <v>0</v>
      </c>
      <c r="I219" s="333">
        <f t="shared" si="24"/>
        <v>0</v>
      </c>
    </row>
    <row r="220" spans="1:12">
      <c r="D220" s="56"/>
    </row>
    <row r="229" spans="1:1">
      <c r="A229" s="56"/>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A105"/>
    <mergeCell ref="B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7"/>
  <sheetViews>
    <sheetView topLeftCell="B7" zoomScale="80" zoomScaleNormal="80" workbookViewId="0">
      <selection activeCell="H18" sqref="H18:O18"/>
    </sheetView>
  </sheetViews>
  <sheetFormatPr defaultColWidth="8.85546875" defaultRowHeight="15"/>
  <cols>
    <col min="1" max="1" width="91" customWidth="1"/>
    <col min="2" max="2" width="44"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285</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48.5" customHeight="1">
      <c r="A16" s="922" t="s">
        <v>7</v>
      </c>
      <c r="B16" s="923" t="s">
        <v>171</v>
      </c>
      <c r="C16" s="924" t="s">
        <v>9</v>
      </c>
      <c r="D16" s="925" t="s">
        <v>10</v>
      </c>
      <c r="E16" s="926" t="s">
        <v>11</v>
      </c>
      <c r="F16" s="926" t="s">
        <v>12</v>
      </c>
      <c r="G16" s="927" t="s">
        <v>13</v>
      </c>
      <c r="H16" s="928" t="s">
        <v>14</v>
      </c>
      <c r="I16" s="926" t="s">
        <v>15</v>
      </c>
      <c r="J16" s="926" t="s">
        <v>16</v>
      </c>
      <c r="K16" s="926" t="s">
        <v>17</v>
      </c>
      <c r="L16" s="926" t="s">
        <v>18</v>
      </c>
      <c r="M16" s="929" t="s">
        <v>19</v>
      </c>
      <c r="N16" s="926" t="s">
        <v>20</v>
      </c>
      <c r="O16" s="930" t="s">
        <v>21</v>
      </c>
      <c r="P16" s="28"/>
      <c r="Q16" s="28"/>
      <c r="R16" s="28"/>
      <c r="S16" s="28"/>
      <c r="T16" s="28"/>
      <c r="U16" s="28"/>
      <c r="V16" s="28"/>
      <c r="W16" s="28"/>
      <c r="X16" s="28"/>
      <c r="Y16" s="28"/>
    </row>
    <row r="17" spans="1:25" ht="17.25" customHeight="1">
      <c r="A17" s="2195" t="s">
        <v>286</v>
      </c>
      <c r="B17" s="2196"/>
      <c r="C17" s="931">
        <v>2014</v>
      </c>
      <c r="D17" s="30"/>
      <c r="E17" s="31"/>
      <c r="F17" s="31"/>
      <c r="G17" s="932">
        <f t="shared" ref="G17:G23" si="0">SUM(D17:F17)</f>
        <v>0</v>
      </c>
      <c r="H17" s="33"/>
      <c r="I17" s="31"/>
      <c r="J17" s="31"/>
      <c r="K17" s="31"/>
      <c r="L17" s="31"/>
      <c r="M17" s="31"/>
      <c r="N17" s="31"/>
      <c r="O17" s="34"/>
      <c r="P17" s="35"/>
      <c r="Q17" s="35"/>
      <c r="R17" s="35"/>
      <c r="S17" s="35"/>
      <c r="T17" s="35"/>
      <c r="U17" s="35"/>
      <c r="V17" s="35"/>
      <c r="W17" s="35"/>
      <c r="X17" s="35"/>
      <c r="Y17" s="35"/>
    </row>
    <row r="18" spans="1:25" ht="19.5" customHeight="1">
      <c r="A18" s="2227"/>
      <c r="B18" s="2196"/>
      <c r="C18" s="933">
        <v>2015</v>
      </c>
      <c r="D18" s="934">
        <v>10</v>
      </c>
      <c r="E18" s="935">
        <v>2</v>
      </c>
      <c r="F18" s="935">
        <v>0</v>
      </c>
      <c r="G18" s="936">
        <f>SUM(D18:F18)</f>
        <v>12</v>
      </c>
      <c r="H18" s="937">
        <v>1</v>
      </c>
      <c r="I18" s="935">
        <v>3</v>
      </c>
      <c r="J18" s="935">
        <v>0</v>
      </c>
      <c r="K18" s="935">
        <v>3</v>
      </c>
      <c r="L18" s="935">
        <v>0</v>
      </c>
      <c r="M18" s="935">
        <v>0</v>
      </c>
      <c r="N18" s="935">
        <v>0</v>
      </c>
      <c r="O18" s="938">
        <v>5</v>
      </c>
      <c r="P18" s="35"/>
      <c r="Q18" s="35"/>
      <c r="R18" s="35"/>
      <c r="S18" s="35"/>
      <c r="T18" s="35"/>
      <c r="U18" s="35"/>
      <c r="V18" s="35"/>
      <c r="W18" s="35"/>
      <c r="X18" s="35"/>
      <c r="Y18" s="35"/>
    </row>
    <row r="19" spans="1:25" ht="18.75" customHeight="1">
      <c r="A19" s="2227"/>
      <c r="B19" s="2196"/>
      <c r="C19" s="933">
        <v>2016</v>
      </c>
      <c r="D19" s="934">
        <v>23</v>
      </c>
      <c r="E19" s="935">
        <v>1</v>
      </c>
      <c r="F19" s="935">
        <v>0</v>
      </c>
      <c r="G19" s="936">
        <f t="shared" si="0"/>
        <v>24</v>
      </c>
      <c r="H19" s="937">
        <v>0</v>
      </c>
      <c r="I19" s="935">
        <v>8</v>
      </c>
      <c r="J19" s="935">
        <v>0</v>
      </c>
      <c r="K19" s="935">
        <v>9</v>
      </c>
      <c r="L19" s="935">
        <v>0</v>
      </c>
      <c r="M19" s="935">
        <v>0</v>
      </c>
      <c r="N19" s="935">
        <v>0</v>
      </c>
      <c r="O19" s="938">
        <v>7</v>
      </c>
      <c r="P19" s="35"/>
      <c r="Q19" s="35"/>
      <c r="R19" s="35"/>
      <c r="S19" s="35"/>
      <c r="T19" s="35"/>
      <c r="U19" s="35"/>
      <c r="V19" s="35"/>
      <c r="W19" s="35"/>
      <c r="X19" s="35"/>
      <c r="Y19" s="35"/>
    </row>
    <row r="20" spans="1:25" ht="16.5" customHeight="1">
      <c r="A20" s="2227"/>
      <c r="B20" s="2196"/>
      <c r="C20" s="933">
        <v>2017</v>
      </c>
      <c r="D20" s="934">
        <v>18</v>
      </c>
      <c r="E20" s="935">
        <v>7</v>
      </c>
      <c r="F20" s="935">
        <v>0</v>
      </c>
      <c r="G20" s="939">
        <f t="shared" si="0"/>
        <v>25</v>
      </c>
      <c r="H20" s="937">
        <v>0</v>
      </c>
      <c r="I20" s="935">
        <v>13</v>
      </c>
      <c r="J20" s="935">
        <v>1</v>
      </c>
      <c r="K20" s="935">
        <v>2</v>
      </c>
      <c r="L20" s="935">
        <v>0</v>
      </c>
      <c r="M20" s="935">
        <v>0</v>
      </c>
      <c r="N20" s="935">
        <v>0</v>
      </c>
      <c r="O20" s="938">
        <v>9</v>
      </c>
      <c r="P20" s="35"/>
      <c r="Q20" s="35"/>
      <c r="R20" s="35"/>
      <c r="S20" s="35"/>
      <c r="T20" s="35"/>
      <c r="U20" s="35"/>
      <c r="V20" s="35"/>
      <c r="W20" s="35"/>
      <c r="X20" s="35"/>
      <c r="Y20" s="35"/>
    </row>
    <row r="21" spans="1:25" ht="17.25" customHeight="1">
      <c r="A21" s="2227"/>
      <c r="B21" s="2196"/>
      <c r="C21" s="933">
        <v>2018</v>
      </c>
      <c r="D21" s="940"/>
      <c r="E21" s="941"/>
      <c r="F21" s="941"/>
      <c r="G21" s="939">
        <f t="shared" si="0"/>
        <v>0</v>
      </c>
      <c r="H21" s="942"/>
      <c r="I21" s="941"/>
      <c r="J21" s="941"/>
      <c r="K21" s="941"/>
      <c r="L21" s="941"/>
      <c r="M21" s="941"/>
      <c r="N21" s="941"/>
      <c r="O21" s="943"/>
      <c r="P21" s="35"/>
      <c r="Q21" s="35"/>
      <c r="R21" s="35"/>
      <c r="S21" s="35"/>
      <c r="T21" s="35"/>
      <c r="U21" s="35"/>
      <c r="V21" s="35"/>
      <c r="W21" s="35"/>
      <c r="X21" s="35"/>
      <c r="Y21" s="35"/>
    </row>
    <row r="22" spans="1:25" ht="18.75" customHeight="1">
      <c r="A22" s="2227"/>
      <c r="B22" s="2196"/>
      <c r="C22" s="944">
        <v>2019</v>
      </c>
      <c r="D22" s="940"/>
      <c r="E22" s="941"/>
      <c r="F22" s="941"/>
      <c r="G22" s="939">
        <f>SUM(D22:F22)</f>
        <v>0</v>
      </c>
      <c r="H22" s="942"/>
      <c r="I22" s="941"/>
      <c r="J22" s="941"/>
      <c r="K22" s="941"/>
      <c r="L22" s="941"/>
      <c r="M22" s="941"/>
      <c r="N22" s="941"/>
      <c r="O22" s="943"/>
      <c r="P22" s="35"/>
      <c r="Q22" s="35"/>
      <c r="R22" s="35"/>
      <c r="S22" s="35"/>
      <c r="T22" s="35"/>
      <c r="U22" s="35"/>
      <c r="V22" s="35"/>
      <c r="W22" s="35"/>
      <c r="X22" s="35"/>
      <c r="Y22" s="35"/>
    </row>
    <row r="23" spans="1:25" ht="17.25" customHeight="1">
      <c r="A23" s="2227"/>
      <c r="B23" s="2196"/>
      <c r="C23" s="933">
        <v>2020</v>
      </c>
      <c r="D23" s="940"/>
      <c r="E23" s="941"/>
      <c r="F23" s="941"/>
      <c r="G23" s="939">
        <f t="shared" si="0"/>
        <v>0</v>
      </c>
      <c r="H23" s="942"/>
      <c r="I23" s="941"/>
      <c r="J23" s="941"/>
      <c r="K23" s="941"/>
      <c r="L23" s="941"/>
      <c r="M23" s="941"/>
      <c r="N23" s="941"/>
      <c r="O23" s="943"/>
      <c r="P23" s="35"/>
      <c r="Q23" s="35"/>
      <c r="R23" s="35"/>
      <c r="S23" s="35"/>
      <c r="T23" s="35"/>
      <c r="U23" s="35"/>
      <c r="V23" s="35"/>
      <c r="W23" s="35"/>
      <c r="X23" s="35"/>
      <c r="Y23" s="35"/>
    </row>
    <row r="24" spans="1:25" ht="25.5" customHeight="1" thickBot="1">
      <c r="A24" s="2228"/>
      <c r="B24" s="2198"/>
      <c r="C24" s="945" t="s">
        <v>13</v>
      </c>
      <c r="D24" s="946">
        <f>SUM(D17:D23)</f>
        <v>51</v>
      </c>
      <c r="E24" s="947">
        <f>SUM(E17:E23)</f>
        <v>10</v>
      </c>
      <c r="F24" s="947">
        <f>SUM(F17:F23)</f>
        <v>0</v>
      </c>
      <c r="G24" s="948">
        <f>SUM(D24:F24)</f>
        <v>61</v>
      </c>
      <c r="H24" s="949">
        <f t="shared" ref="H24:O24" si="1">SUM(H17:H23)</f>
        <v>1</v>
      </c>
      <c r="I24" s="950">
        <f t="shared" si="1"/>
        <v>24</v>
      </c>
      <c r="J24" s="950">
        <f t="shared" si="1"/>
        <v>1</v>
      </c>
      <c r="K24" s="950">
        <f t="shared" si="1"/>
        <v>14</v>
      </c>
      <c r="L24" s="950">
        <f t="shared" si="1"/>
        <v>0</v>
      </c>
      <c r="M24" s="950">
        <f t="shared" si="1"/>
        <v>0</v>
      </c>
      <c r="N24" s="950">
        <f t="shared" si="1"/>
        <v>0</v>
      </c>
      <c r="O24" s="951">
        <f t="shared" si="1"/>
        <v>21</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952"/>
      <c r="C26" s="953"/>
      <c r="D26" s="1959" t="s">
        <v>5</v>
      </c>
      <c r="E26" s="2071"/>
      <c r="F26" s="2071"/>
      <c r="G26" s="2072"/>
      <c r="H26" s="15"/>
      <c r="I26" s="16"/>
      <c r="J26" s="17"/>
      <c r="K26" s="17"/>
      <c r="L26" s="17"/>
      <c r="M26" s="17"/>
      <c r="N26" s="17"/>
      <c r="O26" s="15"/>
      <c r="P26" s="15"/>
    </row>
    <row r="27" spans="1:25" s="56" customFormat="1" ht="48.75" customHeight="1">
      <c r="A27" s="954" t="s">
        <v>23</v>
      </c>
      <c r="B27" s="335" t="s">
        <v>171</v>
      </c>
      <c r="C27" s="955" t="s">
        <v>9</v>
      </c>
      <c r="D27" s="54" t="s">
        <v>10</v>
      </c>
      <c r="E27" s="22" t="s">
        <v>11</v>
      </c>
      <c r="F27" s="22" t="s">
        <v>12</v>
      </c>
      <c r="G27" s="55" t="s">
        <v>13</v>
      </c>
      <c r="H27" s="28"/>
      <c r="I27" s="28"/>
      <c r="J27" s="28"/>
      <c r="K27" s="28"/>
      <c r="L27" s="28"/>
      <c r="M27" s="28"/>
      <c r="N27" s="28"/>
      <c r="O27" s="28"/>
      <c r="P27" s="28"/>
      <c r="Q27" s="51"/>
    </row>
    <row r="28" spans="1:25" ht="15" customHeight="1">
      <c r="A28" s="2195" t="s">
        <v>287</v>
      </c>
      <c r="B28" s="2196"/>
      <c r="C28" s="956">
        <v>2014</v>
      </c>
      <c r="D28" s="957"/>
      <c r="E28" s="958"/>
      <c r="F28" s="958"/>
      <c r="G28" s="959">
        <f>SUM(D28:F28)</f>
        <v>0</v>
      </c>
      <c r="H28" s="35"/>
      <c r="I28" s="35"/>
      <c r="J28" s="35"/>
      <c r="K28" s="35"/>
      <c r="L28" s="35"/>
      <c r="M28" s="35"/>
      <c r="N28" s="35"/>
      <c r="O28" s="35"/>
      <c r="P28" s="35"/>
      <c r="Q28" s="7"/>
    </row>
    <row r="29" spans="1:25">
      <c r="A29" s="2227"/>
      <c r="B29" s="2196"/>
      <c r="C29" s="960">
        <v>2015</v>
      </c>
      <c r="D29" s="961">
        <v>895</v>
      </c>
      <c r="E29" s="962">
        <v>1000</v>
      </c>
      <c r="F29" s="962">
        <v>0</v>
      </c>
      <c r="G29" s="959">
        <f t="shared" ref="G29:G35" si="2">SUM(D29:F29)</f>
        <v>1895</v>
      </c>
      <c r="H29" s="35"/>
      <c r="I29" s="35"/>
      <c r="J29" s="35"/>
      <c r="K29" s="35"/>
      <c r="L29" s="35"/>
      <c r="M29" s="35"/>
      <c r="N29" s="35"/>
      <c r="O29" s="35"/>
      <c r="P29" s="35"/>
      <c r="Q29" s="7"/>
    </row>
    <row r="30" spans="1:25" ht="14.25" customHeight="1">
      <c r="A30" s="2227"/>
      <c r="B30" s="2196"/>
      <c r="C30" s="960">
        <v>2016</v>
      </c>
      <c r="D30" s="963">
        <v>2815</v>
      </c>
      <c r="E30" s="964">
        <v>35000</v>
      </c>
      <c r="F30" s="964">
        <v>0</v>
      </c>
      <c r="G30" s="959">
        <f t="shared" si="2"/>
        <v>37815</v>
      </c>
      <c r="H30" s="35"/>
      <c r="I30" s="35"/>
      <c r="J30" s="35"/>
      <c r="K30" s="35"/>
      <c r="L30" s="35"/>
      <c r="M30" s="35"/>
      <c r="N30" s="35"/>
      <c r="O30" s="35"/>
      <c r="P30" s="35"/>
      <c r="Q30" s="7"/>
    </row>
    <row r="31" spans="1:25">
      <c r="A31" s="2227"/>
      <c r="B31" s="2196"/>
      <c r="C31" s="960">
        <v>2017</v>
      </c>
      <c r="D31" s="963">
        <v>1974</v>
      </c>
      <c r="E31" s="964">
        <v>48580</v>
      </c>
      <c r="F31" s="962">
        <v>0</v>
      </c>
      <c r="G31" s="965">
        <f t="shared" si="2"/>
        <v>50554</v>
      </c>
      <c r="H31" s="35"/>
      <c r="I31" s="35"/>
      <c r="J31" s="35"/>
      <c r="K31" s="35"/>
      <c r="L31" s="35"/>
      <c r="M31" s="35"/>
      <c r="N31" s="35"/>
      <c r="O31" s="35"/>
      <c r="P31" s="35"/>
      <c r="Q31" s="7"/>
    </row>
    <row r="32" spans="1:25">
      <c r="A32" s="2227"/>
      <c r="B32" s="2196"/>
      <c r="C32" s="960">
        <v>2018</v>
      </c>
      <c r="D32" s="966"/>
      <c r="E32" s="967"/>
      <c r="F32" s="967"/>
      <c r="G32" s="959">
        <f>SUM(D32:F32)</f>
        <v>0</v>
      </c>
      <c r="H32" s="35"/>
      <c r="I32" s="35"/>
      <c r="J32" s="35"/>
      <c r="K32" s="35"/>
      <c r="L32" s="35"/>
      <c r="M32" s="35"/>
      <c r="N32" s="35"/>
      <c r="O32" s="35"/>
      <c r="P32" s="35"/>
      <c r="Q32" s="7"/>
    </row>
    <row r="33" spans="1:17">
      <c r="A33" s="2227"/>
      <c r="B33" s="2196"/>
      <c r="C33" s="968">
        <v>2019</v>
      </c>
      <c r="D33" s="966"/>
      <c r="E33" s="967"/>
      <c r="F33" s="967"/>
      <c r="G33" s="959">
        <f t="shared" si="2"/>
        <v>0</v>
      </c>
      <c r="H33" s="35"/>
      <c r="I33" s="35"/>
      <c r="J33" s="35"/>
      <c r="K33" s="35"/>
      <c r="L33" s="35"/>
      <c r="M33" s="35"/>
      <c r="N33" s="35"/>
      <c r="O33" s="35"/>
      <c r="P33" s="35"/>
      <c r="Q33" s="7"/>
    </row>
    <row r="34" spans="1:17">
      <c r="A34" s="2227"/>
      <c r="B34" s="2196"/>
      <c r="C34" s="960">
        <v>2020</v>
      </c>
      <c r="D34" s="966"/>
      <c r="E34" s="967"/>
      <c r="F34" s="967"/>
      <c r="G34" s="959">
        <f t="shared" si="2"/>
        <v>0</v>
      </c>
      <c r="H34" s="35"/>
      <c r="I34" s="35"/>
      <c r="J34" s="35"/>
      <c r="K34" s="35"/>
      <c r="L34" s="35"/>
      <c r="M34" s="35"/>
      <c r="N34" s="35"/>
      <c r="O34" s="35"/>
      <c r="P34" s="35"/>
      <c r="Q34" s="7"/>
    </row>
    <row r="35" spans="1:17" ht="36" customHeight="1" thickBot="1">
      <c r="A35" s="2228"/>
      <c r="B35" s="2198"/>
      <c r="C35" s="969" t="s">
        <v>13</v>
      </c>
      <c r="D35" s="970">
        <f>SUM(D28:D34)</f>
        <v>5684</v>
      </c>
      <c r="E35" s="971">
        <f>SUM(E28:E34)</f>
        <v>84580</v>
      </c>
      <c r="F35" s="971">
        <f>SUM(F28:F34)</f>
        <v>0</v>
      </c>
      <c r="G35" s="972">
        <f t="shared" si="2"/>
        <v>90264</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F38" s="35"/>
      <c r="G38" s="35"/>
      <c r="H38" s="35"/>
    </row>
    <row r="39" spans="1:17" ht="48" customHeight="1">
      <c r="A39" s="973" t="s">
        <v>26</v>
      </c>
      <c r="B39" s="974" t="s">
        <v>171</v>
      </c>
      <c r="C39" s="975" t="s">
        <v>9</v>
      </c>
      <c r="D39" s="976" t="s">
        <v>28</v>
      </c>
      <c r="E39" s="977" t="s">
        <v>29</v>
      </c>
      <c r="F39" s="35"/>
      <c r="G39" s="28"/>
      <c r="H39" s="35"/>
    </row>
    <row r="40" spans="1:17">
      <c r="A40" s="2007" t="s">
        <v>288</v>
      </c>
      <c r="B40" s="2229"/>
      <c r="C40" s="978">
        <v>2014</v>
      </c>
      <c r="D40" s="30"/>
      <c r="E40" s="57"/>
      <c r="F40" s="35"/>
      <c r="G40" s="35"/>
      <c r="H40" s="35"/>
    </row>
    <row r="41" spans="1:17">
      <c r="A41" s="2230"/>
      <c r="B41" s="2229"/>
      <c r="C41" s="979">
        <v>2015</v>
      </c>
      <c r="D41" s="980">
        <v>0</v>
      </c>
      <c r="E41" s="981">
        <v>0</v>
      </c>
      <c r="F41" s="35"/>
      <c r="G41" s="35"/>
      <c r="H41" s="35"/>
    </row>
    <row r="42" spans="1:17">
      <c r="A42" s="2230"/>
      <c r="B42" s="2229"/>
      <c r="C42" s="979">
        <v>2016</v>
      </c>
      <c r="D42" s="982">
        <v>14310</v>
      </c>
      <c r="E42" s="982">
        <v>6685</v>
      </c>
      <c r="F42" s="35"/>
      <c r="G42" s="35"/>
      <c r="H42" s="35"/>
    </row>
    <row r="43" spans="1:17">
      <c r="A43" s="2230"/>
      <c r="B43" s="2229"/>
      <c r="C43" s="979">
        <v>2017</v>
      </c>
      <c r="D43" s="983">
        <v>34809</v>
      </c>
      <c r="E43" s="984">
        <v>9228</v>
      </c>
      <c r="F43" s="7"/>
      <c r="G43" s="35"/>
      <c r="H43" s="35"/>
    </row>
    <row r="44" spans="1:17">
      <c r="A44" s="2230"/>
      <c r="B44" s="2229"/>
      <c r="C44" s="979">
        <v>2018</v>
      </c>
      <c r="D44" s="985"/>
      <c r="E44" s="986"/>
      <c r="F44" s="7"/>
      <c r="G44" s="35"/>
      <c r="H44" s="35"/>
    </row>
    <row r="45" spans="1:17">
      <c r="A45" s="2230"/>
      <c r="B45" s="2229"/>
      <c r="C45" s="979">
        <v>2019</v>
      </c>
      <c r="D45" s="987"/>
      <c r="E45" s="988"/>
      <c r="F45" s="7"/>
      <c r="G45" s="35"/>
      <c r="H45" s="35"/>
    </row>
    <row r="46" spans="1:17">
      <c r="A46" s="2230"/>
      <c r="B46" s="2229"/>
      <c r="C46" s="979">
        <v>2020</v>
      </c>
      <c r="D46" s="987"/>
      <c r="E46" s="988"/>
      <c r="F46" s="7"/>
      <c r="G46" s="35"/>
      <c r="H46" s="35"/>
    </row>
    <row r="47" spans="1:17" ht="15.75" thickBot="1">
      <c r="A47" s="2231"/>
      <c r="B47" s="2232"/>
      <c r="C47" s="989" t="s">
        <v>13</v>
      </c>
      <c r="D47" s="990">
        <f>SUM(D40:D46)</f>
        <v>49119</v>
      </c>
      <c r="E47" s="991">
        <f>SUM(E40:E46)</f>
        <v>15913</v>
      </c>
      <c r="F47" s="7"/>
      <c r="G47" s="35"/>
      <c r="H47" s="35"/>
    </row>
    <row r="48" spans="1:17" s="35" customFormat="1" ht="15.75" thickBot="1">
      <c r="A48" s="539"/>
      <c r="B48" s="80"/>
      <c r="C48" s="81"/>
    </row>
    <row r="49" spans="1:15" ht="86.25" customHeight="1">
      <c r="A49" s="992" t="s">
        <v>32</v>
      </c>
      <c r="B49" s="974" t="s">
        <v>171</v>
      </c>
      <c r="C49" s="975" t="s">
        <v>9</v>
      </c>
      <c r="D49" s="976" t="s">
        <v>34</v>
      </c>
      <c r="E49" s="993" t="s">
        <v>35</v>
      </c>
      <c r="F49" s="993" t="s">
        <v>36</v>
      </c>
      <c r="G49" s="993" t="s">
        <v>37</v>
      </c>
      <c r="H49" s="993" t="s">
        <v>38</v>
      </c>
      <c r="I49" s="993" t="s">
        <v>39</v>
      </c>
      <c r="J49" s="993" t="s">
        <v>40</v>
      </c>
      <c r="K49" s="994" t="s">
        <v>41</v>
      </c>
    </row>
    <row r="50" spans="1:15" ht="17.25" customHeight="1">
      <c r="A50" s="2233" t="s">
        <v>289</v>
      </c>
      <c r="B50" s="2234"/>
      <c r="C50" s="995" t="s">
        <v>43</v>
      </c>
      <c r="D50" s="30"/>
      <c r="E50" s="31"/>
      <c r="F50" s="31"/>
      <c r="G50" s="31"/>
      <c r="H50" s="31"/>
      <c r="I50" s="31"/>
      <c r="J50" s="31"/>
      <c r="K50" s="34"/>
    </row>
    <row r="51" spans="1:15" ht="15" customHeight="1">
      <c r="A51" s="1939"/>
      <c r="B51" s="2235"/>
      <c r="C51" s="979">
        <v>2014</v>
      </c>
      <c r="D51" s="37"/>
      <c r="E51" s="38"/>
      <c r="F51" s="38"/>
      <c r="G51" s="38"/>
      <c r="H51" s="38"/>
      <c r="I51" s="38"/>
      <c r="J51" s="38"/>
      <c r="K51" s="88"/>
    </row>
    <row r="52" spans="1:15">
      <c r="A52" s="1939"/>
      <c r="B52" s="2235"/>
      <c r="C52" s="979">
        <v>2015</v>
      </c>
      <c r="D52" s="980">
        <v>0</v>
      </c>
      <c r="E52" s="935">
        <v>0</v>
      </c>
      <c r="F52" s="935">
        <v>0</v>
      </c>
      <c r="G52" s="996">
        <v>0</v>
      </c>
      <c r="H52" s="935">
        <v>0</v>
      </c>
      <c r="I52" s="935">
        <v>0</v>
      </c>
      <c r="J52" s="996">
        <v>0</v>
      </c>
      <c r="K52" s="997">
        <v>0</v>
      </c>
    </row>
    <row r="53" spans="1:15">
      <c r="A53" s="1939"/>
      <c r="B53" s="2235"/>
      <c r="C53" s="979">
        <v>2016</v>
      </c>
      <c r="D53" s="998">
        <v>2</v>
      </c>
      <c r="E53" s="941">
        <v>0</v>
      </c>
      <c r="F53" s="941">
        <v>0</v>
      </c>
      <c r="G53" s="999">
        <v>360</v>
      </c>
      <c r="H53" s="941">
        <v>0</v>
      </c>
      <c r="I53" s="941">
        <v>0</v>
      </c>
      <c r="J53" s="999">
        <v>119</v>
      </c>
      <c r="K53" s="1000">
        <v>230</v>
      </c>
    </row>
    <row r="54" spans="1:15">
      <c r="A54" s="1939"/>
      <c r="B54" s="2235"/>
      <c r="C54" s="979">
        <v>2017</v>
      </c>
      <c r="D54" s="1001">
        <v>2</v>
      </c>
      <c r="E54" s="935">
        <v>0</v>
      </c>
      <c r="F54" s="935">
        <v>0</v>
      </c>
      <c r="G54" s="935">
        <v>595</v>
      </c>
      <c r="H54" s="935">
        <v>0</v>
      </c>
      <c r="I54" s="935">
        <v>0</v>
      </c>
      <c r="J54" s="996">
        <v>145</v>
      </c>
      <c r="K54" s="997">
        <v>412</v>
      </c>
    </row>
    <row r="55" spans="1:15">
      <c r="A55" s="1939"/>
      <c r="B55" s="2235"/>
      <c r="C55" s="979">
        <v>2018</v>
      </c>
      <c r="D55" s="37"/>
      <c r="E55" s="38"/>
      <c r="F55" s="38"/>
      <c r="G55" s="38"/>
      <c r="H55" s="38"/>
      <c r="I55" s="38"/>
      <c r="J55" s="38"/>
      <c r="K55" s="88"/>
    </row>
    <row r="56" spans="1:15">
      <c r="A56" s="1939"/>
      <c r="B56" s="2235"/>
      <c r="C56" s="979">
        <v>2019</v>
      </c>
      <c r="D56" s="37"/>
      <c r="E56" s="38"/>
      <c r="F56" s="38"/>
      <c r="G56" s="38"/>
      <c r="H56" s="38"/>
      <c r="I56" s="38"/>
      <c r="J56" s="38"/>
      <c r="K56" s="88"/>
    </row>
    <row r="57" spans="1:15">
      <c r="A57" s="1939"/>
      <c r="B57" s="2235"/>
      <c r="C57" s="979">
        <v>2020</v>
      </c>
      <c r="D57" s="37"/>
      <c r="E57" s="38"/>
      <c r="F57" s="38"/>
      <c r="G57" s="38"/>
      <c r="H57" s="38"/>
      <c r="I57" s="38"/>
      <c r="J57" s="38"/>
      <c r="K57" s="93"/>
    </row>
    <row r="58" spans="1:15" ht="20.25" customHeight="1" thickBot="1">
      <c r="A58" s="2236"/>
      <c r="B58" s="2237"/>
      <c r="C58" s="989" t="s">
        <v>13</v>
      </c>
      <c r="D58" s="1002">
        <f>SUM(D51:D57)</f>
        <v>4</v>
      </c>
      <c r="E58" s="1003">
        <f>SUM(E51:E57)</f>
        <v>0</v>
      </c>
      <c r="F58" s="1003">
        <f>SUM(F51:F57)</f>
        <v>0</v>
      </c>
      <c r="G58" s="1003">
        <f>SUM(G51:G57)</f>
        <v>955</v>
      </c>
      <c r="H58" s="1003">
        <f>SUM(H51:H57)</f>
        <v>0</v>
      </c>
      <c r="I58" s="1003">
        <f t="shared" ref="I58" si="3">SUM(I51:I57)</f>
        <v>0</v>
      </c>
      <c r="J58" s="1003">
        <f>SUM(J51:J57)</f>
        <v>264</v>
      </c>
      <c r="K58" s="1004">
        <f>SUM(K50:K56)</f>
        <v>642</v>
      </c>
    </row>
    <row r="59" spans="1:15" ht="15.75" thickBot="1"/>
    <row r="60" spans="1:15" ht="34.5" customHeight="1">
      <c r="A60" s="2238" t="s">
        <v>44</v>
      </c>
      <c r="B60" s="974"/>
      <c r="C60" s="2240" t="s">
        <v>9</v>
      </c>
      <c r="D60" s="2225" t="s">
        <v>45</v>
      </c>
      <c r="E60" s="1005" t="s">
        <v>6</v>
      </c>
      <c r="F60" s="1006"/>
      <c r="G60" s="1006"/>
      <c r="H60" s="1006"/>
      <c r="I60" s="1006"/>
      <c r="J60" s="1006"/>
      <c r="K60" s="1006"/>
      <c r="L60" s="1007"/>
    </row>
    <row r="61" spans="1:15" ht="128.25" customHeight="1">
      <c r="A61" s="2239"/>
      <c r="B61" s="1008" t="s">
        <v>171</v>
      </c>
      <c r="C61" s="2241"/>
      <c r="D61" s="2226"/>
      <c r="E61" s="1009" t="s">
        <v>14</v>
      </c>
      <c r="F61" s="1010" t="s">
        <v>15</v>
      </c>
      <c r="G61" s="1010" t="s">
        <v>16</v>
      </c>
      <c r="H61" s="1011" t="s">
        <v>17</v>
      </c>
      <c r="I61" s="1011" t="s">
        <v>18</v>
      </c>
      <c r="J61" s="1012" t="s">
        <v>19</v>
      </c>
      <c r="K61" s="1010" t="s">
        <v>20</v>
      </c>
      <c r="L61" s="1013" t="s">
        <v>21</v>
      </c>
      <c r="M61" s="105"/>
      <c r="N61" s="7"/>
      <c r="O61" s="7"/>
    </row>
    <row r="62" spans="1:15">
      <c r="A62" s="2212" t="s">
        <v>290</v>
      </c>
      <c r="B62" s="2092"/>
      <c r="C62" s="1014">
        <v>2014</v>
      </c>
      <c r="D62" s="107"/>
      <c r="E62" s="108"/>
      <c r="F62" s="109"/>
      <c r="G62" s="109"/>
      <c r="H62" s="109"/>
      <c r="I62" s="109"/>
      <c r="J62" s="109"/>
      <c r="K62" s="109"/>
      <c r="L62" s="34"/>
      <c r="M62" s="7"/>
      <c r="N62" s="7"/>
      <c r="O62" s="7"/>
    </row>
    <row r="63" spans="1:15">
      <c r="A63" s="2212"/>
      <c r="B63" s="2092"/>
      <c r="C63" s="1015">
        <v>2015</v>
      </c>
      <c r="D63" s="1016">
        <v>1</v>
      </c>
      <c r="E63" s="1017">
        <v>0</v>
      </c>
      <c r="F63" s="967">
        <v>0</v>
      </c>
      <c r="G63" s="967">
        <v>0</v>
      </c>
      <c r="H63" s="967">
        <v>0</v>
      </c>
      <c r="I63" s="967">
        <v>1</v>
      </c>
      <c r="J63" s="967">
        <v>0</v>
      </c>
      <c r="K63" s="967">
        <v>0</v>
      </c>
      <c r="L63" s="1018">
        <v>0</v>
      </c>
      <c r="M63" s="7"/>
      <c r="N63" s="7"/>
      <c r="O63" s="7"/>
    </row>
    <row r="64" spans="1:15">
      <c r="A64" s="2212"/>
      <c r="B64" s="2092"/>
      <c r="C64" s="1015">
        <v>2016</v>
      </c>
      <c r="D64" s="1016">
        <v>2</v>
      </c>
      <c r="E64" s="1017">
        <v>0</v>
      </c>
      <c r="F64" s="967">
        <v>0</v>
      </c>
      <c r="G64" s="967">
        <v>0</v>
      </c>
      <c r="H64" s="967">
        <v>0</v>
      </c>
      <c r="I64" s="967">
        <v>1</v>
      </c>
      <c r="J64" s="967">
        <v>0</v>
      </c>
      <c r="K64" s="967">
        <v>0</v>
      </c>
      <c r="L64" s="1018">
        <v>1</v>
      </c>
      <c r="M64" s="7"/>
      <c r="N64" s="7"/>
      <c r="O64" s="7"/>
    </row>
    <row r="65" spans="1:20">
      <c r="A65" s="2212"/>
      <c r="B65" s="2092"/>
      <c r="C65" s="1015">
        <v>2017</v>
      </c>
      <c r="D65" s="1016">
        <v>1</v>
      </c>
      <c r="E65" s="1017">
        <v>0</v>
      </c>
      <c r="F65" s="967">
        <v>1</v>
      </c>
      <c r="G65" s="967">
        <v>0</v>
      </c>
      <c r="H65" s="967">
        <v>0</v>
      </c>
      <c r="I65" s="967">
        <v>0</v>
      </c>
      <c r="J65" s="967">
        <v>0</v>
      </c>
      <c r="K65" s="967">
        <v>0</v>
      </c>
      <c r="L65" s="1018">
        <v>0</v>
      </c>
      <c r="M65" s="7"/>
      <c r="N65" s="7"/>
      <c r="O65" s="7"/>
    </row>
    <row r="66" spans="1:20">
      <c r="A66" s="2212"/>
      <c r="B66" s="2092"/>
      <c r="C66" s="1015">
        <v>2018</v>
      </c>
      <c r="D66" s="111"/>
      <c r="E66" s="112"/>
      <c r="F66" s="38"/>
      <c r="G66" s="38"/>
      <c r="H66" s="38"/>
      <c r="I66" s="38"/>
      <c r="J66" s="38"/>
      <c r="K66" s="38"/>
      <c r="L66" s="88"/>
      <c r="M66" s="7"/>
      <c r="N66" s="7"/>
      <c r="O66" s="7"/>
    </row>
    <row r="67" spans="1:20" ht="17.25" customHeight="1">
      <c r="A67" s="2212"/>
      <c r="B67" s="2092"/>
      <c r="C67" s="1015">
        <v>2019</v>
      </c>
      <c r="D67" s="111"/>
      <c r="E67" s="112"/>
      <c r="F67" s="38"/>
      <c r="G67" s="38"/>
      <c r="H67" s="38"/>
      <c r="I67" s="38"/>
      <c r="J67" s="38"/>
      <c r="K67" s="38"/>
      <c r="L67" s="88"/>
      <c r="M67" s="7"/>
      <c r="N67" s="7"/>
      <c r="O67" s="7"/>
    </row>
    <row r="68" spans="1:20" ht="16.5" customHeight="1">
      <c r="A68" s="2212"/>
      <c r="B68" s="2092"/>
      <c r="C68" s="1015">
        <v>2020</v>
      </c>
      <c r="D68" s="111"/>
      <c r="E68" s="112"/>
      <c r="F68" s="38"/>
      <c r="G68" s="38"/>
      <c r="H68" s="38"/>
      <c r="I68" s="38"/>
      <c r="J68" s="38"/>
      <c r="K68" s="38"/>
      <c r="L68" s="88"/>
      <c r="M68" s="78"/>
      <c r="N68" s="78"/>
      <c r="O68" s="78"/>
    </row>
    <row r="69" spans="1:20" ht="18" customHeight="1" thickBot="1">
      <c r="A69" s="2220"/>
      <c r="B69" s="2093"/>
      <c r="C69" s="1019" t="s">
        <v>13</v>
      </c>
      <c r="D69" s="1020">
        <f>SUM(D62:D68)</f>
        <v>4</v>
      </c>
      <c r="E69" s="1021">
        <f>SUM(E62:E68)</f>
        <v>0</v>
      </c>
      <c r="F69" s="1020">
        <f t="shared" ref="F69:I69" si="4">SUM(F62:F68)</f>
        <v>1</v>
      </c>
      <c r="G69" s="1020">
        <f t="shared" si="4"/>
        <v>0</v>
      </c>
      <c r="H69" s="1020">
        <f t="shared" si="4"/>
        <v>0</v>
      </c>
      <c r="I69" s="1020">
        <f t="shared" si="4"/>
        <v>2</v>
      </c>
      <c r="J69" s="1020"/>
      <c r="K69" s="1020">
        <f>SUM(K62:K68)</f>
        <v>0</v>
      </c>
      <c r="L69" s="1022">
        <f>SUM(L62:L68)</f>
        <v>1</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023" t="s">
        <v>47</v>
      </c>
      <c r="B71" s="974" t="s">
        <v>171</v>
      </c>
      <c r="C71" s="975" t="s">
        <v>9</v>
      </c>
      <c r="D71" s="993" t="s">
        <v>49</v>
      </c>
      <c r="E71" s="993" t="s">
        <v>50</v>
      </c>
      <c r="F71" s="1024" t="s">
        <v>51</v>
      </c>
      <c r="G71" s="1025" t="s">
        <v>52</v>
      </c>
      <c r="H71" s="1026" t="s">
        <v>14</v>
      </c>
      <c r="I71" s="1027" t="s">
        <v>15</v>
      </c>
      <c r="J71" s="1028" t="s">
        <v>16</v>
      </c>
      <c r="K71" s="1027" t="s">
        <v>17</v>
      </c>
      <c r="L71" s="1027" t="s">
        <v>18</v>
      </c>
      <c r="M71" s="1029" t="s">
        <v>19</v>
      </c>
      <c r="N71" s="1028" t="s">
        <v>20</v>
      </c>
      <c r="O71" s="130" t="s">
        <v>21</v>
      </c>
    </row>
    <row r="72" spans="1:20" ht="15.75" customHeight="1">
      <c r="A72" s="2221" t="s">
        <v>291</v>
      </c>
      <c r="B72" s="2222"/>
      <c r="C72" s="72">
        <v>2014</v>
      </c>
      <c r="D72" s="131"/>
      <c r="E72" s="131"/>
      <c r="F72" s="131"/>
      <c r="G72" s="1030">
        <f>SUM(D72:F72)</f>
        <v>0</v>
      </c>
      <c r="H72" s="30"/>
      <c r="I72" s="133"/>
      <c r="J72" s="109"/>
      <c r="K72" s="109"/>
      <c r="L72" s="109"/>
      <c r="M72" s="109"/>
      <c r="N72" s="109"/>
      <c r="O72" s="134"/>
    </row>
    <row r="73" spans="1:20">
      <c r="A73" s="2221"/>
      <c r="B73" s="2222"/>
      <c r="C73" s="73">
        <v>2015</v>
      </c>
      <c r="D73" s="1031">
        <v>13</v>
      </c>
      <c r="E73" s="1031">
        <v>0</v>
      </c>
      <c r="F73" s="1031">
        <v>34</v>
      </c>
      <c r="G73" s="1030">
        <f t="shared" ref="G73:G78" si="5">SUM(D73:F73)</f>
        <v>47</v>
      </c>
      <c r="H73" s="1032">
        <v>0</v>
      </c>
      <c r="I73" s="1032">
        <v>0</v>
      </c>
      <c r="J73" s="999">
        <v>0</v>
      </c>
      <c r="K73" s="999">
        <v>0</v>
      </c>
      <c r="L73" s="999">
        <v>0</v>
      </c>
      <c r="M73" s="999">
        <v>0</v>
      </c>
      <c r="N73" s="999">
        <v>0</v>
      </c>
      <c r="O73" s="1000">
        <v>47</v>
      </c>
    </row>
    <row r="74" spans="1:20">
      <c r="A74" s="2221"/>
      <c r="B74" s="2222"/>
      <c r="C74" s="73">
        <v>2016</v>
      </c>
      <c r="D74" s="1031">
        <v>8</v>
      </c>
      <c r="E74" s="1031">
        <v>3</v>
      </c>
      <c r="F74" s="1031">
        <v>17</v>
      </c>
      <c r="G74" s="1030">
        <f t="shared" si="5"/>
        <v>28</v>
      </c>
      <c r="H74" s="1032">
        <v>0</v>
      </c>
      <c r="I74" s="1032">
        <v>9</v>
      </c>
      <c r="J74" s="999">
        <v>3</v>
      </c>
      <c r="K74" s="999">
        <v>3</v>
      </c>
      <c r="L74" s="999">
        <v>8</v>
      </c>
      <c r="M74" s="999">
        <v>0</v>
      </c>
      <c r="N74" s="999">
        <v>0</v>
      </c>
      <c r="O74" s="1000">
        <v>5</v>
      </c>
    </row>
    <row r="75" spans="1:20">
      <c r="A75" s="2221"/>
      <c r="B75" s="2222"/>
      <c r="C75" s="73">
        <v>2017</v>
      </c>
      <c r="D75" s="1033">
        <v>4</v>
      </c>
      <c r="E75" s="1033">
        <v>3</v>
      </c>
      <c r="F75" s="1033">
        <v>23</v>
      </c>
      <c r="G75" s="1030">
        <f t="shared" si="5"/>
        <v>30</v>
      </c>
      <c r="H75" s="1034">
        <v>0</v>
      </c>
      <c r="I75" s="1034">
        <v>1</v>
      </c>
      <c r="J75" s="1034">
        <v>4</v>
      </c>
      <c r="K75" s="1034">
        <v>1</v>
      </c>
      <c r="L75" s="1034">
        <v>0</v>
      </c>
      <c r="M75" s="1034">
        <v>0</v>
      </c>
      <c r="N75" s="1034">
        <v>0</v>
      </c>
      <c r="O75" s="1000">
        <v>24</v>
      </c>
    </row>
    <row r="76" spans="1:20">
      <c r="A76" s="2221"/>
      <c r="B76" s="2222"/>
      <c r="C76" s="73">
        <v>2018</v>
      </c>
      <c r="D76" s="135"/>
      <c r="E76" s="135"/>
      <c r="F76" s="135"/>
      <c r="G76" s="1030">
        <f t="shared" si="5"/>
        <v>0</v>
      </c>
      <c r="H76" s="37"/>
      <c r="I76" s="37"/>
      <c r="J76" s="38"/>
      <c r="K76" s="38"/>
      <c r="L76" s="38"/>
      <c r="M76" s="38"/>
      <c r="N76" s="38"/>
      <c r="O76" s="88"/>
    </row>
    <row r="77" spans="1:20" ht="15.75" customHeight="1">
      <c r="A77" s="2221"/>
      <c r="B77" s="2222"/>
      <c r="C77" s="73">
        <v>2019</v>
      </c>
      <c r="D77" s="135"/>
      <c r="E77" s="135"/>
      <c r="F77" s="135"/>
      <c r="G77" s="1030">
        <f t="shared" si="5"/>
        <v>0</v>
      </c>
      <c r="H77" s="37"/>
      <c r="I77" s="37"/>
      <c r="J77" s="38"/>
      <c r="K77" s="38"/>
      <c r="L77" s="38"/>
      <c r="M77" s="38"/>
      <c r="N77" s="38"/>
      <c r="O77" s="88"/>
    </row>
    <row r="78" spans="1:20" ht="21" customHeight="1">
      <c r="A78" s="2221"/>
      <c r="B78" s="2222"/>
      <c r="C78" s="73">
        <v>2020</v>
      </c>
      <c r="D78" s="135"/>
      <c r="E78" s="135"/>
      <c r="F78" s="135"/>
      <c r="G78" s="1030">
        <f t="shared" si="5"/>
        <v>0</v>
      </c>
      <c r="H78" s="37"/>
      <c r="I78" s="37"/>
      <c r="J78" s="38"/>
      <c r="K78" s="38"/>
      <c r="L78" s="38"/>
      <c r="M78" s="38"/>
      <c r="N78" s="38"/>
      <c r="O78" s="88"/>
    </row>
    <row r="79" spans="1:20" ht="81" customHeight="1" thickBot="1">
      <c r="A79" s="2223"/>
      <c r="B79" s="2224"/>
      <c r="C79" s="136" t="s">
        <v>13</v>
      </c>
      <c r="D79" s="1035">
        <f>SUM(D72:D78)</f>
        <v>25</v>
      </c>
      <c r="E79" s="1035">
        <f>SUM(E72:E78)</f>
        <v>6</v>
      </c>
      <c r="F79" s="1035">
        <f>SUM(F72:F78)</f>
        <v>74</v>
      </c>
      <c r="G79" s="1036">
        <f>SUM(G72:G78)</f>
        <v>105</v>
      </c>
      <c r="H79" s="1037">
        <v>0</v>
      </c>
      <c r="I79" s="1038">
        <f t="shared" ref="I79:O79" si="6">SUM(I72:I78)</f>
        <v>10</v>
      </c>
      <c r="J79" s="1035">
        <f t="shared" si="6"/>
        <v>7</v>
      </c>
      <c r="K79" s="1035">
        <f t="shared" si="6"/>
        <v>4</v>
      </c>
      <c r="L79" s="1035">
        <f t="shared" si="6"/>
        <v>8</v>
      </c>
      <c r="M79" s="1035">
        <f t="shared" si="6"/>
        <v>0</v>
      </c>
      <c r="N79" s="1035">
        <f t="shared" si="6"/>
        <v>0</v>
      </c>
      <c r="O79" s="1039">
        <f t="shared" si="6"/>
        <v>76</v>
      </c>
    </row>
    <row r="81" spans="1:17" ht="15" customHeight="1">
      <c r="A81" s="140"/>
      <c r="B81" s="119"/>
      <c r="C81" s="141"/>
      <c r="D81" s="142"/>
      <c r="E81" s="78"/>
      <c r="F81" s="78"/>
      <c r="G81" s="78"/>
      <c r="H81" s="78"/>
      <c r="I81" s="78"/>
      <c r="J81" s="78"/>
      <c r="K81" s="78"/>
    </row>
    <row r="82" spans="1:17" ht="28.5" customHeight="1">
      <c r="A82" s="143" t="s">
        <v>55</v>
      </c>
      <c r="B82" s="143"/>
      <c r="C82" s="144"/>
      <c r="D82" s="144"/>
      <c r="E82" s="144"/>
      <c r="F82" s="144"/>
      <c r="G82" s="144"/>
      <c r="H82" s="144"/>
      <c r="I82" s="144"/>
      <c r="J82" s="144"/>
      <c r="K82" s="144"/>
      <c r="L82" s="145"/>
    </row>
    <row r="83" spans="1:17" ht="14.25" customHeight="1" thickBot="1">
      <c r="A83" s="146"/>
      <c r="B83" s="146"/>
    </row>
    <row r="84" spans="1:17" s="56" customFormat="1" ht="128.25" customHeight="1">
      <c r="A84" s="1040" t="s">
        <v>56</v>
      </c>
      <c r="B84" s="1041" t="s">
        <v>178</v>
      </c>
      <c r="C84" s="1042" t="s">
        <v>9</v>
      </c>
      <c r="D84" s="1043" t="s">
        <v>58</v>
      </c>
      <c r="E84" s="1044" t="s">
        <v>59</v>
      </c>
      <c r="F84" s="1045" t="s">
        <v>60</v>
      </c>
      <c r="G84" s="1045" t="s">
        <v>61</v>
      </c>
      <c r="H84" s="1045" t="s">
        <v>62</v>
      </c>
      <c r="I84" s="1045" t="s">
        <v>63</v>
      </c>
      <c r="J84" s="1045" t="s">
        <v>64</v>
      </c>
      <c r="K84" s="1046" t="s">
        <v>65</v>
      </c>
    </row>
    <row r="85" spans="1:17" ht="15" customHeight="1">
      <c r="A85" s="1939" t="s">
        <v>292</v>
      </c>
      <c r="B85" s="1899"/>
      <c r="C85" s="978">
        <v>2014</v>
      </c>
      <c r="D85" s="154"/>
      <c r="E85" s="155"/>
      <c r="F85" s="31"/>
      <c r="G85" s="31"/>
      <c r="H85" s="31"/>
      <c r="I85" s="31"/>
      <c r="J85" s="31"/>
      <c r="K85" s="34"/>
    </row>
    <row r="86" spans="1:17">
      <c r="A86" s="1939"/>
      <c r="B86" s="1899"/>
      <c r="C86" s="979">
        <v>2015</v>
      </c>
      <c r="D86" s="156"/>
      <c r="E86" s="112"/>
      <c r="F86" s="38"/>
      <c r="G86" s="38"/>
      <c r="H86" s="38"/>
      <c r="I86" s="38"/>
      <c r="J86" s="38"/>
      <c r="K86" s="88"/>
    </row>
    <row r="87" spans="1:17">
      <c r="A87" s="1939"/>
      <c r="B87" s="1899"/>
      <c r="C87" s="979">
        <v>2016</v>
      </c>
      <c r="D87" s="156"/>
      <c r="E87" s="112"/>
      <c r="F87" s="38"/>
      <c r="G87" s="38"/>
      <c r="H87" s="38"/>
      <c r="I87" s="38"/>
      <c r="J87" s="38"/>
      <c r="K87" s="88"/>
    </row>
    <row r="88" spans="1:17">
      <c r="A88" s="1939"/>
      <c r="B88" s="1899"/>
      <c r="C88" s="979">
        <v>2017</v>
      </c>
      <c r="D88" s="156"/>
      <c r="E88" s="112"/>
      <c r="F88" s="38"/>
      <c r="G88" s="38"/>
      <c r="H88" s="38"/>
      <c r="I88" s="38"/>
      <c r="J88" s="38"/>
      <c r="K88" s="88"/>
    </row>
    <row r="89" spans="1:17">
      <c r="A89" s="1939"/>
      <c r="B89" s="1899"/>
      <c r="C89" s="979">
        <v>2018</v>
      </c>
      <c r="D89" s="156"/>
      <c r="E89" s="112"/>
      <c r="F89" s="38"/>
      <c r="G89" s="38"/>
      <c r="H89" s="38"/>
      <c r="I89" s="38"/>
      <c r="J89" s="38"/>
      <c r="K89" s="88"/>
    </row>
    <row r="90" spans="1:17">
      <c r="A90" s="1939"/>
      <c r="B90" s="1899"/>
      <c r="C90" s="979">
        <v>2019</v>
      </c>
      <c r="D90" s="156"/>
      <c r="E90" s="112"/>
      <c r="F90" s="38"/>
      <c r="G90" s="38"/>
      <c r="H90" s="38"/>
      <c r="I90" s="38"/>
      <c r="J90" s="38"/>
      <c r="K90" s="88"/>
    </row>
    <row r="91" spans="1:17">
      <c r="A91" s="1939"/>
      <c r="B91" s="1899"/>
      <c r="C91" s="979">
        <v>2020</v>
      </c>
      <c r="D91" s="156"/>
      <c r="E91" s="112"/>
      <c r="F91" s="38"/>
      <c r="G91" s="38"/>
      <c r="H91" s="38"/>
      <c r="I91" s="38"/>
      <c r="J91" s="38"/>
      <c r="K91" s="88"/>
    </row>
    <row r="92" spans="1:17" ht="18" customHeight="1" thickBot="1">
      <c r="A92" s="1940"/>
      <c r="B92" s="1900"/>
      <c r="C92" s="1047" t="s">
        <v>13</v>
      </c>
      <c r="D92" s="1048">
        <f t="shared" ref="D92:I92" si="7">SUM(D85:D91)</f>
        <v>0</v>
      </c>
      <c r="E92" s="1049">
        <f t="shared" si="7"/>
        <v>0</v>
      </c>
      <c r="F92" s="1035">
        <f t="shared" si="7"/>
        <v>0</v>
      </c>
      <c r="G92" s="1035">
        <f t="shared" si="7"/>
        <v>0</v>
      </c>
      <c r="H92" s="1035">
        <f t="shared" si="7"/>
        <v>0</v>
      </c>
      <c r="I92" s="1035">
        <f t="shared" si="7"/>
        <v>0</v>
      </c>
      <c r="J92" s="1035">
        <f>SUM(J85:J91)</f>
        <v>0</v>
      </c>
      <c r="K92" s="1039">
        <f>SUM(K85:K91)</f>
        <v>0</v>
      </c>
    </row>
    <row r="93" spans="1:17" ht="20.25" customHeight="1"/>
    <row r="94" spans="1:17" ht="21">
      <c r="A94" s="158" t="s">
        <v>67</v>
      </c>
      <c r="B94" s="158"/>
      <c r="C94" s="159"/>
      <c r="D94" s="159"/>
      <c r="E94" s="159"/>
      <c r="F94" s="159"/>
      <c r="G94" s="159"/>
      <c r="H94" s="159"/>
      <c r="I94" s="159"/>
      <c r="J94" s="159"/>
      <c r="K94" s="159"/>
      <c r="L94" s="159"/>
      <c r="M94" s="159"/>
    </row>
    <row r="95" spans="1:17" s="65" customFormat="1" ht="15" customHeight="1" thickBot="1">
      <c r="A95" s="161"/>
      <c r="B95" s="161"/>
      <c r="N95"/>
      <c r="O95"/>
      <c r="P95"/>
      <c r="Q95"/>
    </row>
    <row r="96" spans="1:17" ht="29.25" customHeight="1">
      <c r="A96" s="2208" t="s">
        <v>68</v>
      </c>
      <c r="B96" s="2210" t="s">
        <v>179</v>
      </c>
      <c r="C96" s="2216" t="s">
        <v>9</v>
      </c>
      <c r="D96" s="1916" t="s">
        <v>70</v>
      </c>
      <c r="E96" s="1917"/>
      <c r="F96" s="162" t="s">
        <v>71</v>
      </c>
      <c r="G96" s="549"/>
      <c r="H96" s="549"/>
      <c r="I96" s="549"/>
      <c r="J96" s="549"/>
      <c r="K96" s="549"/>
      <c r="L96" s="549"/>
      <c r="M96" s="550"/>
    </row>
    <row r="97" spans="1:14" ht="100.5" customHeight="1">
      <c r="A97" s="2209"/>
      <c r="B97" s="2211"/>
      <c r="C97" s="2217"/>
      <c r="D97" s="166" t="s">
        <v>72</v>
      </c>
      <c r="E97" s="167" t="s">
        <v>73</v>
      </c>
      <c r="F97" s="168" t="s">
        <v>14</v>
      </c>
      <c r="G97" s="169" t="s">
        <v>74</v>
      </c>
      <c r="H97" s="170" t="s">
        <v>61</v>
      </c>
      <c r="I97" s="171" t="s">
        <v>62</v>
      </c>
      <c r="J97" s="171" t="s">
        <v>63</v>
      </c>
      <c r="K97" s="172" t="s">
        <v>75</v>
      </c>
      <c r="L97" s="170" t="s">
        <v>64</v>
      </c>
      <c r="M97" s="173" t="s">
        <v>65</v>
      </c>
    </row>
    <row r="98" spans="1:14" ht="17.25" customHeight="1">
      <c r="A98" s="2212" t="s">
        <v>293</v>
      </c>
      <c r="B98" s="2213"/>
      <c r="C98" s="1014">
        <v>2014</v>
      </c>
      <c r="D98" s="30"/>
      <c r="E98" s="31"/>
      <c r="F98" s="174"/>
      <c r="G98" s="175"/>
      <c r="H98" s="175"/>
      <c r="I98" s="175"/>
      <c r="J98" s="175"/>
      <c r="K98" s="175"/>
      <c r="L98" s="175"/>
      <c r="M98" s="176"/>
    </row>
    <row r="99" spans="1:14" ht="16.5" customHeight="1">
      <c r="A99" s="2212"/>
      <c r="B99" s="2213"/>
      <c r="C99" s="1015">
        <v>2015</v>
      </c>
      <c r="D99" s="934">
        <v>1</v>
      </c>
      <c r="E99" s="935">
        <v>1</v>
      </c>
      <c r="F99" s="1050">
        <v>0</v>
      </c>
      <c r="G99" s="962">
        <v>0</v>
      </c>
      <c r="H99" s="962">
        <v>0</v>
      </c>
      <c r="I99" s="962">
        <v>0</v>
      </c>
      <c r="J99" s="962">
        <v>0</v>
      </c>
      <c r="K99" s="962">
        <v>0</v>
      </c>
      <c r="L99" s="962">
        <v>0</v>
      </c>
      <c r="M99" s="1051">
        <v>1</v>
      </c>
    </row>
    <row r="100" spans="1:14" ht="16.5" customHeight="1">
      <c r="A100" s="2212"/>
      <c r="B100" s="2213"/>
      <c r="C100" s="1015">
        <v>2016</v>
      </c>
      <c r="D100" s="940">
        <v>1</v>
      </c>
      <c r="E100" s="941">
        <v>7</v>
      </c>
      <c r="F100" s="1052">
        <v>0</v>
      </c>
      <c r="G100" s="1053">
        <v>0</v>
      </c>
      <c r="H100" s="1053">
        <v>0</v>
      </c>
      <c r="I100" s="1053">
        <v>0</v>
      </c>
      <c r="J100" s="1053">
        <v>0</v>
      </c>
      <c r="K100" s="1053">
        <v>0</v>
      </c>
      <c r="L100" s="1053">
        <v>0</v>
      </c>
      <c r="M100" s="1054">
        <v>1</v>
      </c>
    </row>
    <row r="101" spans="1:14" ht="16.5" customHeight="1">
      <c r="A101" s="2212"/>
      <c r="B101" s="2213"/>
      <c r="C101" s="1015">
        <v>2017</v>
      </c>
      <c r="D101" s="1034">
        <v>1</v>
      </c>
      <c r="E101" s="999">
        <v>8</v>
      </c>
      <c r="F101" s="1050">
        <v>0</v>
      </c>
      <c r="G101" s="962">
        <v>0</v>
      </c>
      <c r="H101" s="962">
        <v>0</v>
      </c>
      <c r="I101" s="962">
        <v>0</v>
      </c>
      <c r="J101" s="962">
        <v>0</v>
      </c>
      <c r="K101" s="962">
        <v>0</v>
      </c>
      <c r="L101" s="962">
        <v>0</v>
      </c>
      <c r="M101" s="1051">
        <v>1</v>
      </c>
    </row>
    <row r="102" spans="1:14" ht="15.75" customHeight="1">
      <c r="A102" s="2212"/>
      <c r="B102" s="2213"/>
      <c r="C102" s="1015">
        <v>2018</v>
      </c>
      <c r="D102" s="37"/>
      <c r="E102" s="38"/>
      <c r="F102" s="177"/>
      <c r="G102" s="178"/>
      <c r="H102" s="178"/>
      <c r="I102" s="178"/>
      <c r="J102" s="178"/>
      <c r="K102" s="178"/>
      <c r="L102" s="178"/>
      <c r="M102" s="179"/>
    </row>
    <row r="103" spans="1:14" ht="14.25" customHeight="1">
      <c r="A103" s="2212"/>
      <c r="B103" s="2213"/>
      <c r="C103" s="1015">
        <v>2019</v>
      </c>
      <c r="D103" s="37"/>
      <c r="E103" s="38"/>
      <c r="F103" s="177"/>
      <c r="G103" s="178"/>
      <c r="H103" s="178"/>
      <c r="I103" s="178"/>
      <c r="J103" s="178"/>
      <c r="K103" s="178"/>
      <c r="L103" s="178"/>
      <c r="M103" s="179"/>
    </row>
    <row r="104" spans="1:14" ht="14.25" customHeight="1">
      <c r="A104" s="2212"/>
      <c r="B104" s="2213"/>
      <c r="C104" s="1015">
        <v>2020</v>
      </c>
      <c r="D104" s="37"/>
      <c r="E104" s="38"/>
      <c r="F104" s="177"/>
      <c r="G104" s="178"/>
      <c r="H104" s="178"/>
      <c r="I104" s="178"/>
      <c r="J104" s="178"/>
      <c r="K104" s="178"/>
      <c r="L104" s="178"/>
      <c r="M104" s="179"/>
    </row>
    <row r="105" spans="1:14" ht="19.5" customHeight="1" thickBot="1">
      <c r="A105" s="2214"/>
      <c r="B105" s="2215"/>
      <c r="C105" s="1019" t="s">
        <v>13</v>
      </c>
      <c r="D105" s="1038">
        <f>SUM(D98:D104)</f>
        <v>3</v>
      </c>
      <c r="E105" s="1035">
        <f t="shared" ref="E105:K105" si="8">SUM(E98:E104)</f>
        <v>16</v>
      </c>
      <c r="F105" s="1049">
        <f t="shared" si="8"/>
        <v>0</v>
      </c>
      <c r="G105" s="1035">
        <f t="shared" si="8"/>
        <v>0</v>
      </c>
      <c r="H105" s="1035">
        <f t="shared" si="8"/>
        <v>0</v>
      </c>
      <c r="I105" s="1035">
        <f>SUM(I98:I104)</f>
        <v>0</v>
      </c>
      <c r="J105" s="1035">
        <f t="shared" si="8"/>
        <v>0</v>
      </c>
      <c r="K105" s="1035">
        <f t="shared" si="8"/>
        <v>0</v>
      </c>
      <c r="L105" s="1035">
        <f>SUM(L98:L104)</f>
        <v>0</v>
      </c>
      <c r="M105" s="1039">
        <f>SUM(M98:M104)</f>
        <v>3</v>
      </c>
    </row>
    <row r="106" spans="1:14" ht="15.75" thickBot="1">
      <c r="A106" s="183"/>
      <c r="B106" s="183"/>
      <c r="C106" s="184"/>
      <c r="D106" s="7"/>
      <c r="E106" s="7"/>
      <c r="H106" s="185"/>
      <c r="I106" s="185"/>
      <c r="J106" s="185"/>
      <c r="K106" s="185"/>
      <c r="L106" s="185"/>
      <c r="M106" s="185"/>
    </row>
    <row r="107" spans="1:14" ht="15" customHeight="1">
      <c r="A107" s="2208" t="s">
        <v>77</v>
      </c>
      <c r="B107" s="2210" t="s">
        <v>179</v>
      </c>
      <c r="C107" s="2216" t="s">
        <v>9</v>
      </c>
      <c r="D107" s="1926" t="s">
        <v>78</v>
      </c>
      <c r="E107" s="162" t="s">
        <v>79</v>
      </c>
      <c r="F107" s="549"/>
      <c r="G107" s="549"/>
      <c r="H107" s="549"/>
      <c r="I107" s="549"/>
      <c r="J107" s="549"/>
      <c r="K107" s="549"/>
      <c r="L107" s="550"/>
      <c r="M107" s="185"/>
    </row>
    <row r="108" spans="1:14" ht="112.5" customHeight="1">
      <c r="A108" s="2209"/>
      <c r="B108" s="2211"/>
      <c r="C108" s="2217"/>
      <c r="D108" s="1927"/>
      <c r="E108" s="168" t="s">
        <v>14</v>
      </c>
      <c r="F108" s="169" t="s">
        <v>74</v>
      </c>
      <c r="G108" s="170" t="s">
        <v>61</v>
      </c>
      <c r="H108" s="171" t="s">
        <v>62</v>
      </c>
      <c r="I108" s="171" t="s">
        <v>63</v>
      </c>
      <c r="J108" s="172" t="s">
        <v>75</v>
      </c>
      <c r="K108" s="170" t="s">
        <v>64</v>
      </c>
      <c r="L108" s="173" t="s">
        <v>65</v>
      </c>
      <c r="M108" s="185"/>
      <c r="N108" s="185"/>
    </row>
    <row r="109" spans="1:14">
      <c r="A109" s="1898" t="s">
        <v>292</v>
      </c>
      <c r="B109" s="2218"/>
      <c r="C109" s="1055">
        <v>2014</v>
      </c>
      <c r="D109" s="31"/>
      <c r="E109" s="174"/>
      <c r="F109" s="175"/>
      <c r="G109" s="175"/>
      <c r="H109" s="175"/>
      <c r="I109" s="175"/>
      <c r="J109" s="175"/>
      <c r="K109" s="175"/>
      <c r="L109" s="176"/>
      <c r="M109" s="185"/>
      <c r="N109" s="185"/>
    </row>
    <row r="110" spans="1:14">
      <c r="A110" s="1891"/>
      <c r="B110" s="2218"/>
      <c r="C110" s="1056">
        <v>2015</v>
      </c>
      <c r="D110" s="38"/>
      <c r="E110" s="177"/>
      <c r="F110" s="178"/>
      <c r="G110" s="178"/>
      <c r="H110" s="178"/>
      <c r="I110" s="178"/>
      <c r="J110" s="178"/>
      <c r="K110" s="178"/>
      <c r="L110" s="179"/>
      <c r="M110" s="185"/>
      <c r="N110" s="185"/>
    </row>
    <row r="111" spans="1:14">
      <c r="A111" s="1891"/>
      <c r="B111" s="2218"/>
      <c r="C111" s="1056">
        <v>2016</v>
      </c>
      <c r="D111" s="38"/>
      <c r="E111" s="177"/>
      <c r="F111" s="178"/>
      <c r="G111" s="178"/>
      <c r="H111" s="178"/>
      <c r="I111" s="178"/>
      <c r="J111" s="178"/>
      <c r="K111" s="178"/>
      <c r="L111" s="179"/>
      <c r="M111" s="185"/>
      <c r="N111" s="185"/>
    </row>
    <row r="112" spans="1:14">
      <c r="A112" s="1891"/>
      <c r="B112" s="2218"/>
      <c r="C112" s="1056">
        <v>2017</v>
      </c>
      <c r="D112" s="38"/>
      <c r="E112" s="177"/>
      <c r="F112" s="178"/>
      <c r="G112" s="178"/>
      <c r="H112" s="178"/>
      <c r="I112" s="178"/>
      <c r="J112" s="178"/>
      <c r="K112" s="178"/>
      <c r="L112" s="179"/>
      <c r="M112" s="185"/>
      <c r="N112" s="185"/>
    </row>
    <row r="113" spans="1:14">
      <c r="A113" s="1891"/>
      <c r="B113" s="2218"/>
      <c r="C113" s="1056">
        <v>2018</v>
      </c>
      <c r="D113" s="38"/>
      <c r="E113" s="177"/>
      <c r="F113" s="178"/>
      <c r="G113" s="178"/>
      <c r="H113" s="178"/>
      <c r="I113" s="178"/>
      <c r="J113" s="178"/>
      <c r="K113" s="178"/>
      <c r="L113" s="179"/>
      <c r="M113" s="185"/>
      <c r="N113" s="185"/>
    </row>
    <row r="114" spans="1:14">
      <c r="A114" s="1891"/>
      <c r="B114" s="2218"/>
      <c r="C114" s="1056">
        <v>2019</v>
      </c>
      <c r="D114" s="38"/>
      <c r="E114" s="177"/>
      <c r="F114" s="178"/>
      <c r="G114" s="178"/>
      <c r="H114" s="178"/>
      <c r="I114" s="178"/>
      <c r="J114" s="178"/>
      <c r="K114" s="178"/>
      <c r="L114" s="179"/>
      <c r="M114" s="185"/>
      <c r="N114" s="185"/>
    </row>
    <row r="115" spans="1:14">
      <c r="A115" s="1891"/>
      <c r="B115" s="2218"/>
      <c r="C115" s="1056">
        <v>2020</v>
      </c>
      <c r="D115" s="38"/>
      <c r="E115" s="177"/>
      <c r="F115" s="178"/>
      <c r="G115" s="178"/>
      <c r="H115" s="178"/>
      <c r="I115" s="178"/>
      <c r="J115" s="178"/>
      <c r="K115" s="178"/>
      <c r="L115" s="179"/>
      <c r="M115" s="185"/>
      <c r="N115" s="185"/>
    </row>
    <row r="116" spans="1:14" ht="25.5" customHeight="1" thickBot="1">
      <c r="A116" s="1893"/>
      <c r="B116" s="2219"/>
      <c r="C116" s="1057" t="s">
        <v>13</v>
      </c>
      <c r="D116" s="1035">
        <f t="shared" ref="D116:I116" si="9">SUM(D109:D115)</f>
        <v>0</v>
      </c>
      <c r="E116" s="1049">
        <f t="shared" si="9"/>
        <v>0</v>
      </c>
      <c r="F116" s="1035">
        <f t="shared" si="9"/>
        <v>0</v>
      </c>
      <c r="G116" s="1035">
        <f t="shared" si="9"/>
        <v>0</v>
      </c>
      <c r="H116" s="1035">
        <f t="shared" si="9"/>
        <v>0</v>
      </c>
      <c r="I116" s="1035">
        <f t="shared" si="9"/>
        <v>0</v>
      </c>
      <c r="J116" s="1035"/>
      <c r="K116" s="1035">
        <f>SUM(K109:K115)</f>
        <v>0</v>
      </c>
      <c r="L116" s="1039">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208" t="s">
        <v>81</v>
      </c>
      <c r="B118" s="2210" t="s">
        <v>179</v>
      </c>
      <c r="C118" s="2058" t="s">
        <v>9</v>
      </c>
      <c r="D118" s="1926" t="s">
        <v>82</v>
      </c>
      <c r="E118" s="162" t="s">
        <v>79</v>
      </c>
      <c r="F118" s="549"/>
      <c r="G118" s="549"/>
      <c r="H118" s="549"/>
      <c r="I118" s="549"/>
      <c r="J118" s="549"/>
      <c r="K118" s="549"/>
      <c r="L118" s="550"/>
      <c r="M118" s="185"/>
      <c r="N118" s="185"/>
    </row>
    <row r="119" spans="1:14" ht="120.75" customHeight="1">
      <c r="A119" s="2209"/>
      <c r="B119" s="2211"/>
      <c r="C119" s="1925"/>
      <c r="D119" s="1927"/>
      <c r="E119" s="168" t="s">
        <v>14</v>
      </c>
      <c r="F119" s="169" t="s">
        <v>74</v>
      </c>
      <c r="G119" s="170" t="s">
        <v>61</v>
      </c>
      <c r="H119" s="171" t="s">
        <v>62</v>
      </c>
      <c r="I119" s="171" t="s">
        <v>63</v>
      </c>
      <c r="J119" s="172" t="s">
        <v>75</v>
      </c>
      <c r="K119" s="170" t="s">
        <v>64</v>
      </c>
      <c r="L119" s="173" t="s">
        <v>65</v>
      </c>
      <c r="M119" s="185"/>
      <c r="N119" s="185"/>
    </row>
    <row r="120" spans="1:14">
      <c r="A120" s="1898" t="s">
        <v>292</v>
      </c>
      <c r="B120" s="1899"/>
      <c r="C120" s="106">
        <v>2014</v>
      </c>
      <c r="D120" s="31"/>
      <c r="E120" s="174"/>
      <c r="F120" s="175"/>
      <c r="G120" s="175"/>
      <c r="H120" s="175"/>
      <c r="I120" s="175"/>
      <c r="J120" s="175"/>
      <c r="K120" s="175"/>
      <c r="L120" s="176"/>
      <c r="M120" s="185"/>
      <c r="N120" s="185"/>
    </row>
    <row r="121" spans="1:14">
      <c r="A121" s="1891"/>
      <c r="B121" s="1899"/>
      <c r="C121" s="110">
        <v>2015</v>
      </c>
      <c r="D121" s="967"/>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020">
        <f t="shared" ref="D127:I127" si="10">SUM(D120:D126)</f>
        <v>0</v>
      </c>
      <c r="E127" s="1021">
        <f t="shared" si="10"/>
        <v>0</v>
      </c>
      <c r="F127" s="1020">
        <f t="shared" si="10"/>
        <v>0</v>
      </c>
      <c r="G127" s="1020">
        <f t="shared" si="10"/>
        <v>0</v>
      </c>
      <c r="H127" s="1020">
        <f t="shared" si="10"/>
        <v>0</v>
      </c>
      <c r="I127" s="1020">
        <f t="shared" si="10"/>
        <v>0</v>
      </c>
      <c r="J127" s="1020"/>
      <c r="K127" s="1020">
        <f>SUM(K120:K126)</f>
        <v>0</v>
      </c>
      <c r="L127" s="102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208" t="s">
        <v>84</v>
      </c>
      <c r="B129" s="2210" t="s">
        <v>179</v>
      </c>
      <c r="C129" s="552" t="s">
        <v>9</v>
      </c>
      <c r="D129" s="189" t="s">
        <v>85</v>
      </c>
      <c r="E129" s="553"/>
      <c r="F129" s="553"/>
      <c r="G129" s="191"/>
      <c r="H129" s="185"/>
      <c r="I129" s="185"/>
      <c r="J129" s="185"/>
      <c r="K129" s="185"/>
      <c r="L129" s="185"/>
      <c r="M129" s="185"/>
      <c r="N129" s="185"/>
    </row>
    <row r="130" spans="1:16" ht="77.25" customHeight="1">
      <c r="A130" s="2209"/>
      <c r="B130" s="2211"/>
      <c r="C130" s="192"/>
      <c r="D130" s="166" t="s">
        <v>86</v>
      </c>
      <c r="E130" s="193" t="s">
        <v>87</v>
      </c>
      <c r="F130" s="167" t="s">
        <v>88</v>
      </c>
      <c r="G130" s="194" t="s">
        <v>13</v>
      </c>
      <c r="H130" s="185"/>
      <c r="I130" s="185"/>
      <c r="J130" s="185"/>
      <c r="K130" s="185"/>
      <c r="L130" s="185"/>
      <c r="M130" s="185"/>
      <c r="N130" s="185"/>
    </row>
    <row r="131" spans="1:16" ht="15" customHeight="1">
      <c r="A131" s="1874"/>
      <c r="B131" s="1855"/>
      <c r="C131" s="479">
        <v>2015</v>
      </c>
      <c r="D131" s="1001">
        <v>47</v>
      </c>
      <c r="E131" s="999"/>
      <c r="F131" s="999"/>
      <c r="G131" s="1058">
        <f t="shared" ref="G131:G136" si="11">SUM(D131:F131)</f>
        <v>47</v>
      </c>
      <c r="H131" s="185"/>
      <c r="I131" s="185"/>
      <c r="J131" s="185"/>
      <c r="K131" s="185"/>
      <c r="L131" s="185"/>
      <c r="M131" s="185"/>
      <c r="N131" s="185"/>
    </row>
    <row r="132" spans="1:16">
      <c r="A132" s="1854"/>
      <c r="B132" s="1855"/>
      <c r="C132" s="110">
        <v>2016</v>
      </c>
      <c r="D132" s="1059">
        <v>329</v>
      </c>
      <c r="E132" s="941"/>
      <c r="F132" s="941"/>
      <c r="G132" s="1058">
        <f t="shared" si="11"/>
        <v>329</v>
      </c>
      <c r="H132" s="185"/>
      <c r="I132" s="185"/>
      <c r="J132" s="185"/>
      <c r="K132" s="185"/>
      <c r="L132" s="185"/>
      <c r="M132" s="185"/>
      <c r="N132" s="185"/>
    </row>
    <row r="133" spans="1:16">
      <c r="A133" s="1854"/>
      <c r="B133" s="1855"/>
      <c r="C133" s="110">
        <v>2017</v>
      </c>
      <c r="D133" s="1001">
        <v>358</v>
      </c>
      <c r="E133" s="941"/>
      <c r="F133" s="941"/>
      <c r="G133" s="1058">
        <f>SUM(D133:F133)</f>
        <v>358</v>
      </c>
      <c r="H133" s="185"/>
      <c r="I133" s="185"/>
      <c r="J133" s="185"/>
      <c r="K133" s="185"/>
      <c r="L133" s="185"/>
      <c r="M133" s="185"/>
      <c r="N133" s="185"/>
    </row>
    <row r="134" spans="1:16">
      <c r="A134" s="1854"/>
      <c r="B134" s="1855"/>
      <c r="C134" s="110">
        <v>2018</v>
      </c>
      <c r="D134" s="940"/>
      <c r="E134" s="941"/>
      <c r="F134" s="941"/>
      <c r="G134" s="1058">
        <f t="shared" si="11"/>
        <v>0</v>
      </c>
      <c r="H134" s="185"/>
      <c r="I134" s="185"/>
      <c r="J134" s="185"/>
      <c r="K134" s="185"/>
      <c r="L134" s="185"/>
      <c r="M134" s="185"/>
      <c r="N134" s="185"/>
    </row>
    <row r="135" spans="1:16">
      <c r="A135" s="1854"/>
      <c r="B135" s="1855"/>
      <c r="C135" s="110">
        <v>2019</v>
      </c>
      <c r="D135" s="940"/>
      <c r="E135" s="941"/>
      <c r="F135" s="941"/>
      <c r="G135" s="1058">
        <f t="shared" si="11"/>
        <v>0</v>
      </c>
      <c r="H135" s="185"/>
      <c r="I135" s="185"/>
      <c r="J135" s="185"/>
      <c r="K135" s="185"/>
      <c r="L135" s="185"/>
      <c r="M135" s="185"/>
      <c r="N135" s="185"/>
    </row>
    <row r="136" spans="1:16">
      <c r="A136" s="1854"/>
      <c r="B136" s="1855"/>
      <c r="C136" s="110">
        <v>2020</v>
      </c>
      <c r="D136" s="940"/>
      <c r="E136" s="941"/>
      <c r="F136" s="941"/>
      <c r="G136" s="1058">
        <f t="shared" si="11"/>
        <v>0</v>
      </c>
      <c r="H136" s="185"/>
      <c r="I136" s="185"/>
      <c r="J136" s="185"/>
      <c r="K136" s="185"/>
      <c r="L136" s="185"/>
      <c r="M136" s="185"/>
      <c r="N136" s="185"/>
    </row>
    <row r="137" spans="1:16" ht="17.25" customHeight="1" thickBot="1">
      <c r="A137" s="1856"/>
      <c r="B137" s="1857"/>
      <c r="C137" s="113" t="s">
        <v>13</v>
      </c>
      <c r="D137" s="1038">
        <f>SUM(D131:D136)</f>
        <v>734</v>
      </c>
      <c r="E137" s="1038">
        <f t="shared" ref="E137:F137" si="12">SUM(E131:E136)</f>
        <v>0</v>
      </c>
      <c r="F137" s="1038">
        <f t="shared" si="12"/>
        <v>0</v>
      </c>
      <c r="G137" s="1060">
        <f>SUM(G131:G136)</f>
        <v>734</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199" t="s">
        <v>127</v>
      </c>
      <c r="B176" s="2189" t="s">
        <v>182</v>
      </c>
      <c r="C176" s="2201" t="s">
        <v>9</v>
      </c>
      <c r="D176" s="273" t="s">
        <v>128</v>
      </c>
      <c r="E176" s="562"/>
      <c r="F176" s="562"/>
      <c r="G176" s="563"/>
      <c r="H176" s="276"/>
      <c r="I176" s="1888" t="s">
        <v>129</v>
      </c>
      <c r="J176" s="2041"/>
      <c r="K176" s="2041"/>
      <c r="L176" s="2041"/>
      <c r="M176" s="2041"/>
      <c r="N176" s="2041"/>
      <c r="O176" s="2042"/>
    </row>
    <row r="177" spans="1:15" s="56" customFormat="1" ht="129.75" customHeight="1">
      <c r="A177" s="2200"/>
      <c r="B177" s="2190"/>
      <c r="C177" s="2202"/>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27" customHeight="1">
      <c r="A178" s="2203" t="s">
        <v>294</v>
      </c>
      <c r="B178" s="2204"/>
      <c r="C178" s="1014">
        <v>2014</v>
      </c>
      <c r="D178" s="30"/>
      <c r="E178" s="31"/>
      <c r="F178" s="31"/>
      <c r="G178" s="1061">
        <f>SUM(D178:F178)</f>
        <v>0</v>
      </c>
      <c r="H178" s="155"/>
      <c r="I178" s="155"/>
      <c r="J178" s="31"/>
      <c r="K178" s="31"/>
      <c r="L178" s="31"/>
      <c r="M178" s="31"/>
      <c r="N178" s="31"/>
      <c r="O178" s="34"/>
    </row>
    <row r="179" spans="1:15" ht="30" customHeight="1">
      <c r="A179" s="2205"/>
      <c r="B179" s="2204"/>
      <c r="C179" s="1015">
        <v>2015</v>
      </c>
      <c r="D179" s="1062">
        <v>3</v>
      </c>
      <c r="E179" s="962">
        <v>2</v>
      </c>
      <c r="F179" s="962">
        <v>1</v>
      </c>
      <c r="G179" s="1063">
        <f t="shared" ref="G179:G184" si="19">SUM(D179:F179)</f>
        <v>6</v>
      </c>
      <c r="H179" s="1064">
        <v>2</v>
      </c>
      <c r="I179" s="1065">
        <v>0</v>
      </c>
      <c r="J179" s="935">
        <v>1</v>
      </c>
      <c r="K179" s="935">
        <v>0</v>
      </c>
      <c r="L179" s="935">
        <v>1</v>
      </c>
      <c r="M179" s="935">
        <v>1</v>
      </c>
      <c r="N179" s="935">
        <v>0</v>
      </c>
      <c r="O179" s="1066">
        <v>3</v>
      </c>
    </row>
    <row r="180" spans="1:15" ht="32.25" customHeight="1">
      <c r="A180" s="2205"/>
      <c r="B180" s="2204"/>
      <c r="C180" s="1015">
        <v>2016</v>
      </c>
      <c r="D180" s="940">
        <v>26</v>
      </c>
      <c r="E180" s="941">
        <v>2</v>
      </c>
      <c r="F180" s="941">
        <v>0</v>
      </c>
      <c r="G180" s="1063">
        <f t="shared" si="19"/>
        <v>28</v>
      </c>
      <c r="H180" s="1067">
        <v>35</v>
      </c>
      <c r="I180" s="1017">
        <v>0</v>
      </c>
      <c r="J180" s="967">
        <v>3</v>
      </c>
      <c r="K180" s="967">
        <v>0</v>
      </c>
      <c r="L180" s="967">
        <v>0</v>
      </c>
      <c r="M180" s="967">
        <v>11</v>
      </c>
      <c r="N180" s="967">
        <v>0</v>
      </c>
      <c r="O180" s="1018">
        <v>14</v>
      </c>
    </row>
    <row r="181" spans="1:15" ht="33" customHeight="1">
      <c r="A181" s="2205"/>
      <c r="B181" s="2204"/>
      <c r="C181" s="1015">
        <v>2017</v>
      </c>
      <c r="D181" s="1034">
        <v>17</v>
      </c>
      <c r="E181" s="967">
        <v>2</v>
      </c>
      <c r="F181" s="967">
        <v>9</v>
      </c>
      <c r="G181" s="1061">
        <f t="shared" si="19"/>
        <v>28</v>
      </c>
      <c r="H181" s="1068">
        <v>100</v>
      </c>
      <c r="I181" s="1017">
        <v>0</v>
      </c>
      <c r="J181" s="967">
        <v>6</v>
      </c>
      <c r="K181" s="967">
        <v>1</v>
      </c>
      <c r="L181" s="967">
        <v>10</v>
      </c>
      <c r="M181" s="967">
        <v>4</v>
      </c>
      <c r="N181" s="967">
        <v>0</v>
      </c>
      <c r="O181" s="1018">
        <v>7</v>
      </c>
    </row>
    <row r="182" spans="1:15" ht="32.25" customHeight="1">
      <c r="A182" s="2205"/>
      <c r="B182" s="2204"/>
      <c r="C182" s="1015">
        <v>2018</v>
      </c>
      <c r="D182" s="37"/>
      <c r="E182" s="38"/>
      <c r="F182" s="38"/>
      <c r="G182" s="1061">
        <f t="shared" si="19"/>
        <v>0</v>
      </c>
      <c r="H182" s="411"/>
      <c r="I182" s="1017"/>
      <c r="J182" s="967"/>
      <c r="K182" s="967"/>
      <c r="L182" s="967"/>
      <c r="M182" s="967"/>
      <c r="N182" s="967"/>
      <c r="O182" s="1018"/>
    </row>
    <row r="183" spans="1:15" ht="40.5" customHeight="1">
      <c r="A183" s="2205"/>
      <c r="B183" s="2204"/>
      <c r="C183" s="1015">
        <v>2019</v>
      </c>
      <c r="D183" s="37"/>
      <c r="E183" s="38"/>
      <c r="F183" s="38"/>
      <c r="G183" s="1061">
        <f t="shared" si="19"/>
        <v>0</v>
      </c>
      <c r="H183" s="411"/>
      <c r="I183" s="1017"/>
      <c r="J183" s="967"/>
      <c r="K183" s="967"/>
      <c r="L183" s="967"/>
      <c r="M183" s="967"/>
      <c r="N183" s="967"/>
      <c r="O183" s="1018"/>
    </row>
    <row r="184" spans="1:15" ht="64.5" customHeight="1">
      <c r="A184" s="2205"/>
      <c r="B184" s="2204"/>
      <c r="C184" s="1015">
        <v>2020</v>
      </c>
      <c r="D184" s="37"/>
      <c r="E184" s="38"/>
      <c r="F184" s="38"/>
      <c r="G184" s="1061">
        <f t="shared" si="19"/>
        <v>0</v>
      </c>
      <c r="H184" s="411"/>
      <c r="I184" s="1017"/>
      <c r="J184" s="967"/>
      <c r="K184" s="967"/>
      <c r="L184" s="967"/>
      <c r="M184" s="967"/>
      <c r="N184" s="967"/>
      <c r="O184" s="1018"/>
    </row>
    <row r="185" spans="1:15" ht="78.75" customHeight="1" thickBot="1">
      <c r="A185" s="2206"/>
      <c r="B185" s="2207"/>
      <c r="C185" s="1057" t="s">
        <v>13</v>
      </c>
      <c r="D185" s="1038">
        <f t="shared" ref="D185:O185" si="20">SUM(D178:D184)</f>
        <v>46</v>
      </c>
      <c r="E185" s="1035">
        <f t="shared" si="20"/>
        <v>6</v>
      </c>
      <c r="F185" s="1035">
        <f t="shared" si="20"/>
        <v>10</v>
      </c>
      <c r="G185" s="1069">
        <f t="shared" si="20"/>
        <v>62</v>
      </c>
      <c r="H185" s="1070">
        <f t="shared" si="20"/>
        <v>137</v>
      </c>
      <c r="I185" s="1049">
        <f t="shared" si="20"/>
        <v>0</v>
      </c>
      <c r="J185" s="1035">
        <f t="shared" si="20"/>
        <v>10</v>
      </c>
      <c r="K185" s="1035">
        <f t="shared" si="20"/>
        <v>1</v>
      </c>
      <c r="L185" s="1035">
        <f t="shared" si="20"/>
        <v>11</v>
      </c>
      <c r="M185" s="1035">
        <f t="shared" si="20"/>
        <v>16</v>
      </c>
      <c r="N185" s="1035">
        <f t="shared" si="20"/>
        <v>0</v>
      </c>
      <c r="O185" s="1039">
        <f t="shared" si="20"/>
        <v>24</v>
      </c>
    </row>
    <row r="186" spans="1:15" ht="33" customHeight="1" thickBot="1"/>
    <row r="187" spans="1:15" ht="19.5" customHeight="1">
      <c r="A187" s="2187" t="s">
        <v>137</v>
      </c>
      <c r="B187" s="2189" t="s">
        <v>182</v>
      </c>
      <c r="C187" s="2191" t="s">
        <v>9</v>
      </c>
      <c r="D187" s="1867" t="s">
        <v>138</v>
      </c>
      <c r="E187" s="2038"/>
      <c r="F187" s="2038"/>
      <c r="G187" s="1869"/>
      <c r="H187" s="1870" t="s">
        <v>139</v>
      </c>
      <c r="I187" s="1865"/>
      <c r="J187" s="1865"/>
      <c r="K187" s="1865"/>
      <c r="L187" s="1871"/>
    </row>
    <row r="188" spans="1:15" ht="90">
      <c r="A188" s="2188"/>
      <c r="B188" s="2190"/>
      <c r="C188" s="2192"/>
      <c r="D188" s="286" t="s">
        <v>140</v>
      </c>
      <c r="E188" s="286" t="s">
        <v>141</v>
      </c>
      <c r="F188" s="286" t="s">
        <v>142</v>
      </c>
      <c r="G188" s="287" t="s">
        <v>13</v>
      </c>
      <c r="H188" s="288" t="s">
        <v>143</v>
      </c>
      <c r="I188" s="286" t="s">
        <v>144</v>
      </c>
      <c r="J188" s="286" t="s">
        <v>145</v>
      </c>
      <c r="K188" s="286" t="s">
        <v>146</v>
      </c>
      <c r="L188" s="289" t="s">
        <v>147</v>
      </c>
    </row>
    <row r="189" spans="1:15" ht="15" customHeight="1">
      <c r="A189" s="2193" t="s">
        <v>295</v>
      </c>
      <c r="B189" s="2194"/>
      <c r="C189" s="1071">
        <v>2014</v>
      </c>
      <c r="D189" s="133"/>
      <c r="E189" s="109"/>
      <c r="F189" s="109"/>
      <c r="G189" s="1072">
        <f>SUM(D189:F189)</f>
        <v>0</v>
      </c>
      <c r="H189" s="108"/>
      <c r="I189" s="109"/>
      <c r="J189" s="109"/>
      <c r="K189" s="109"/>
      <c r="L189" s="134"/>
    </row>
    <row r="190" spans="1:15">
      <c r="A190" s="2195"/>
      <c r="B190" s="2196"/>
      <c r="C190" s="1073">
        <v>2015</v>
      </c>
      <c r="D190" s="1074">
        <v>24</v>
      </c>
      <c r="E190" s="1075">
        <v>50</v>
      </c>
      <c r="F190" s="1075">
        <v>55</v>
      </c>
      <c r="G190" s="1076">
        <f t="shared" ref="G190:G195" si="21">SUM(D190:F190)</f>
        <v>129</v>
      </c>
      <c r="H190" s="1077">
        <v>0</v>
      </c>
      <c r="I190" s="1075">
        <v>32</v>
      </c>
      <c r="J190" s="1075">
        <v>0</v>
      </c>
      <c r="K190" s="1075">
        <v>0</v>
      </c>
      <c r="L190" s="1078">
        <v>97</v>
      </c>
    </row>
    <row r="191" spans="1:15">
      <c r="A191" s="2195"/>
      <c r="B191" s="2196"/>
      <c r="C191" s="1073">
        <v>2016</v>
      </c>
      <c r="D191" s="1079">
        <v>1012</v>
      </c>
      <c r="E191" s="1080">
        <v>49</v>
      </c>
      <c r="F191" s="1080">
        <v>70</v>
      </c>
      <c r="G191" s="1076">
        <f t="shared" si="21"/>
        <v>1131</v>
      </c>
      <c r="H191" s="1077">
        <v>2</v>
      </c>
      <c r="I191" s="1075">
        <v>260</v>
      </c>
      <c r="J191" s="1075">
        <v>0</v>
      </c>
      <c r="K191" s="1075">
        <v>22</v>
      </c>
      <c r="L191" s="1078">
        <v>847</v>
      </c>
    </row>
    <row r="192" spans="1:15" ht="36.75" customHeight="1">
      <c r="A192" s="2195"/>
      <c r="B192" s="2196"/>
      <c r="C192" s="979">
        <v>2017</v>
      </c>
      <c r="D192" s="1062">
        <v>1496</v>
      </c>
      <c r="E192" s="962">
        <v>51</v>
      </c>
      <c r="F192" s="1081">
        <v>724</v>
      </c>
      <c r="G192" s="1072">
        <f t="shared" si="21"/>
        <v>2271</v>
      </c>
      <c r="H192" s="1065">
        <v>0</v>
      </c>
      <c r="I192" s="935">
        <v>206</v>
      </c>
      <c r="J192" s="935">
        <v>0</v>
      </c>
      <c r="K192" s="935">
        <v>79</v>
      </c>
      <c r="L192" s="997">
        <v>1986</v>
      </c>
    </row>
    <row r="193" spans="1:14">
      <c r="A193" s="2195"/>
      <c r="B193" s="2196"/>
      <c r="C193" s="979">
        <v>2018</v>
      </c>
      <c r="D193" s="37"/>
      <c r="E193" s="38"/>
      <c r="F193" s="38"/>
      <c r="G193" s="1072">
        <f t="shared" si="21"/>
        <v>0</v>
      </c>
      <c r="H193" s="112"/>
      <c r="I193" s="38"/>
      <c r="J193" s="38"/>
      <c r="K193" s="38"/>
      <c r="L193" s="88"/>
    </row>
    <row r="194" spans="1:14" ht="17.25" customHeight="1">
      <c r="A194" s="2195"/>
      <c r="B194" s="2196"/>
      <c r="C194" s="979">
        <v>2019</v>
      </c>
      <c r="D194" s="37"/>
      <c r="E194" s="38"/>
      <c r="F194" s="38"/>
      <c r="G194" s="1072">
        <f t="shared" si="21"/>
        <v>0</v>
      </c>
      <c r="H194" s="112"/>
      <c r="I194" s="38"/>
      <c r="J194" s="38"/>
      <c r="K194" s="38"/>
      <c r="L194" s="88"/>
    </row>
    <row r="195" spans="1:14" ht="16.5" customHeight="1">
      <c r="A195" s="2195"/>
      <c r="B195" s="2196"/>
      <c r="C195" s="979">
        <v>2020</v>
      </c>
      <c r="D195" s="37"/>
      <c r="E195" s="38"/>
      <c r="F195" s="38"/>
      <c r="G195" s="1072">
        <f t="shared" si="21"/>
        <v>0</v>
      </c>
      <c r="H195" s="112"/>
      <c r="I195" s="38"/>
      <c r="J195" s="38"/>
      <c r="K195" s="38"/>
      <c r="L195" s="88"/>
    </row>
    <row r="196" spans="1:14" ht="257.25" customHeight="1" thickBot="1">
      <c r="A196" s="2197"/>
      <c r="B196" s="2198"/>
      <c r="C196" s="1082" t="s">
        <v>13</v>
      </c>
      <c r="D196" s="1038">
        <f t="shared" ref="D196:L196" si="22">SUM(D189:D195)</f>
        <v>2532</v>
      </c>
      <c r="E196" s="1035">
        <f t="shared" si="22"/>
        <v>150</v>
      </c>
      <c r="F196" s="1035">
        <f t="shared" si="22"/>
        <v>849</v>
      </c>
      <c r="G196" s="1083">
        <f t="shared" si="22"/>
        <v>3531</v>
      </c>
      <c r="H196" s="1049">
        <f t="shared" si="22"/>
        <v>2</v>
      </c>
      <c r="I196" s="1035">
        <f t="shared" si="22"/>
        <v>498</v>
      </c>
      <c r="J196" s="1035">
        <f t="shared" si="22"/>
        <v>0</v>
      </c>
      <c r="K196" s="1035">
        <f t="shared" si="22"/>
        <v>101</v>
      </c>
      <c r="L196" s="1039">
        <f t="shared" si="22"/>
        <v>2930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084" t="s">
        <v>150</v>
      </c>
      <c r="B201" s="1085" t="s">
        <v>182</v>
      </c>
      <c r="C201" s="1086"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1087">
        <v>2014</v>
      </c>
      <c r="D202" s="30"/>
      <c r="E202" s="31"/>
      <c r="F202" s="31"/>
      <c r="G202" s="29"/>
      <c r="H202" s="305"/>
      <c r="I202" s="306"/>
      <c r="J202" s="307"/>
      <c r="K202" s="31"/>
      <c r="L202" s="34"/>
    </row>
    <row r="203" spans="1:14">
      <c r="A203" s="1854"/>
      <c r="B203" s="1855"/>
      <c r="C203" s="1088">
        <v>2015</v>
      </c>
      <c r="D203" s="934">
        <v>0</v>
      </c>
      <c r="E203" s="935">
        <v>0</v>
      </c>
      <c r="F203" s="935">
        <v>0</v>
      </c>
      <c r="G203" s="1089">
        <v>0</v>
      </c>
      <c r="H203" s="1090">
        <v>0</v>
      </c>
      <c r="I203" s="1091">
        <v>0</v>
      </c>
      <c r="J203" s="1092">
        <v>0</v>
      </c>
      <c r="K203" s="935">
        <v>0</v>
      </c>
      <c r="L203" s="1066">
        <v>0</v>
      </c>
    </row>
    <row r="204" spans="1:14">
      <c r="A204" s="1854"/>
      <c r="B204" s="1855"/>
      <c r="C204" s="1088">
        <v>2016</v>
      </c>
      <c r="D204" s="940">
        <v>2</v>
      </c>
      <c r="E204" s="941">
        <v>45</v>
      </c>
      <c r="F204" s="941">
        <v>5</v>
      </c>
      <c r="G204" s="933">
        <v>0</v>
      </c>
      <c r="H204" s="1093">
        <v>0</v>
      </c>
      <c r="I204" s="1094">
        <v>0</v>
      </c>
      <c r="J204" s="1095">
        <v>0</v>
      </c>
      <c r="K204" s="941">
        <v>0</v>
      </c>
      <c r="L204" s="1096">
        <v>0</v>
      </c>
    </row>
    <row r="205" spans="1:14">
      <c r="A205" s="1854"/>
      <c r="B205" s="1855"/>
      <c r="C205" s="1088">
        <v>2017</v>
      </c>
      <c r="D205" s="934">
        <v>1</v>
      </c>
      <c r="E205" s="935">
        <v>11</v>
      </c>
      <c r="F205" s="935">
        <v>1</v>
      </c>
      <c r="G205" s="1089">
        <v>0</v>
      </c>
      <c r="H205" s="1090">
        <v>0</v>
      </c>
      <c r="I205" s="1091">
        <v>0</v>
      </c>
      <c r="J205" s="1092">
        <v>0</v>
      </c>
      <c r="K205" s="935">
        <v>0</v>
      </c>
      <c r="L205" s="1066">
        <v>0</v>
      </c>
    </row>
    <row r="206" spans="1:14">
      <c r="A206" s="1854"/>
      <c r="B206" s="1855"/>
      <c r="C206" s="1088">
        <v>2018</v>
      </c>
      <c r="D206" s="37"/>
      <c r="E206" s="38"/>
      <c r="F206" s="38"/>
      <c r="G206" s="36"/>
      <c r="H206" s="308"/>
      <c r="I206" s="309"/>
      <c r="J206" s="310"/>
      <c r="K206" s="38"/>
      <c r="L206" s="88"/>
    </row>
    <row r="207" spans="1:14">
      <c r="A207" s="1854"/>
      <c r="B207" s="1855"/>
      <c r="C207" s="1088">
        <v>2019</v>
      </c>
      <c r="D207" s="37"/>
      <c r="E207" s="38"/>
      <c r="F207" s="38"/>
      <c r="G207" s="36"/>
      <c r="H207" s="308"/>
      <c r="I207" s="309"/>
      <c r="J207" s="310"/>
      <c r="K207" s="38"/>
      <c r="L207" s="88"/>
    </row>
    <row r="208" spans="1:14">
      <c r="A208" s="1854"/>
      <c r="B208" s="1855"/>
      <c r="C208" s="1088">
        <v>2020</v>
      </c>
      <c r="D208" s="311"/>
      <c r="E208" s="312"/>
      <c r="F208" s="312"/>
      <c r="G208" s="313"/>
      <c r="H208" s="314"/>
      <c r="I208" s="315"/>
      <c r="J208" s="316"/>
      <c r="K208" s="312"/>
      <c r="L208" s="317"/>
    </row>
    <row r="209" spans="1:12" ht="20.25" customHeight="1" thickBot="1">
      <c r="A209" s="1856"/>
      <c r="B209" s="1857"/>
      <c r="C209" s="1082" t="s">
        <v>13</v>
      </c>
      <c r="D209" s="1097">
        <f>SUM(D202:D208)</f>
        <v>3</v>
      </c>
      <c r="E209" s="1097">
        <f t="shared" ref="E209:L209" si="23">SUM(E202:E208)</f>
        <v>56</v>
      </c>
      <c r="F209" s="1097">
        <f t="shared" si="23"/>
        <v>6</v>
      </c>
      <c r="G209" s="1097">
        <f t="shared" si="23"/>
        <v>0</v>
      </c>
      <c r="H209" s="1097">
        <f t="shared" si="23"/>
        <v>0</v>
      </c>
      <c r="I209" s="1097">
        <f t="shared" si="23"/>
        <v>0</v>
      </c>
      <c r="J209" s="1097">
        <f t="shared" si="23"/>
        <v>0</v>
      </c>
      <c r="K209" s="1097">
        <f t="shared" si="23"/>
        <v>0</v>
      </c>
      <c r="L209" s="1097">
        <f t="shared" si="23"/>
        <v>0</v>
      </c>
    </row>
    <row r="211" spans="1:12" ht="15.75" thickBot="1"/>
    <row r="212" spans="1:12" ht="41.25" customHeight="1">
      <c r="A212" s="571" t="s">
        <v>161</v>
      </c>
      <c r="B212" s="1098" t="s">
        <v>162</v>
      </c>
      <c r="C212" s="1099">
        <v>2014</v>
      </c>
      <c r="D212" s="1100">
        <v>2015</v>
      </c>
      <c r="E212" s="1100">
        <v>2016</v>
      </c>
      <c r="F212" s="1100">
        <v>2017</v>
      </c>
      <c r="G212" s="1100">
        <v>2018</v>
      </c>
      <c r="H212" s="1100">
        <v>2019</v>
      </c>
      <c r="I212" s="1101">
        <v>2020</v>
      </c>
    </row>
    <row r="213" spans="1:12" ht="19.5" customHeight="1">
      <c r="A213" t="s">
        <v>163</v>
      </c>
      <c r="B213" s="2184" t="s">
        <v>296</v>
      </c>
      <c r="C213" s="72"/>
      <c r="D213" s="1102">
        <f>SUM(D214:D217)</f>
        <v>308227.84000000003</v>
      </c>
      <c r="E213" s="1103">
        <f>SUM(E214:E217)</f>
        <v>724807.32</v>
      </c>
      <c r="F213" s="1103">
        <f>SUM(F214:F217)</f>
        <v>926583.23</v>
      </c>
      <c r="G213" s="135"/>
      <c r="H213" s="135"/>
      <c r="I213" s="326"/>
    </row>
    <row r="214" spans="1:12">
      <c r="A214" t="s">
        <v>164</v>
      </c>
      <c r="B214" s="2185"/>
      <c r="C214" s="72"/>
      <c r="D214" s="1104">
        <v>115194.95</v>
      </c>
      <c r="E214" s="1105">
        <v>371011.33</v>
      </c>
      <c r="F214" s="1106">
        <v>343308.89</v>
      </c>
      <c r="G214" s="135"/>
      <c r="H214" s="135"/>
      <c r="I214" s="326"/>
    </row>
    <row r="215" spans="1:12">
      <c r="A215" t="s">
        <v>165</v>
      </c>
      <c r="B215" s="2185"/>
      <c r="C215" s="72"/>
      <c r="D215" s="1104">
        <v>0</v>
      </c>
      <c r="E215" s="1105">
        <v>7264.6</v>
      </c>
      <c r="F215" s="1106">
        <v>9348</v>
      </c>
      <c r="G215" s="135"/>
      <c r="H215" s="135"/>
      <c r="I215" s="326"/>
    </row>
    <row r="216" spans="1:12">
      <c r="A216" t="s">
        <v>166</v>
      </c>
      <c r="B216" s="2185"/>
      <c r="C216" s="72"/>
      <c r="D216" s="1104">
        <v>88358.06</v>
      </c>
      <c r="E216" s="1105">
        <v>144084.49</v>
      </c>
      <c r="F216" s="1106">
        <v>197512.39</v>
      </c>
      <c r="G216" s="135"/>
      <c r="H216" s="135"/>
      <c r="I216" s="326"/>
    </row>
    <row r="217" spans="1:12">
      <c r="A217" t="s">
        <v>167</v>
      </c>
      <c r="B217" s="2185"/>
      <c r="C217" s="72"/>
      <c r="D217" s="1104">
        <v>104674.83</v>
      </c>
      <c r="E217" s="1107">
        <v>202446.9</v>
      </c>
      <c r="F217" s="1106">
        <v>376413.95</v>
      </c>
      <c r="G217" s="135"/>
      <c r="H217" s="135"/>
      <c r="I217" s="326"/>
    </row>
    <row r="218" spans="1:12" ht="30">
      <c r="A218" s="56" t="s">
        <v>168</v>
      </c>
      <c r="B218" s="2185"/>
      <c r="C218" s="72"/>
      <c r="D218" s="1104">
        <v>100912.81</v>
      </c>
      <c r="E218" s="1108">
        <v>287084.87</v>
      </c>
      <c r="F218" s="1109">
        <v>314249.8</v>
      </c>
      <c r="G218" s="135"/>
      <c r="H218" s="135"/>
      <c r="I218" s="326"/>
    </row>
    <row r="219" spans="1:12" ht="18.75" customHeight="1" thickBot="1">
      <c r="A219" s="331"/>
      <c r="B219" s="2186"/>
      <c r="C219" s="945" t="s">
        <v>13</v>
      </c>
      <c r="D219" s="1110">
        <f>SUM(D214:D218)</f>
        <v>409140.65</v>
      </c>
      <c r="E219" s="1110">
        <f t="shared" ref="E219:I219" si="24">SUM(E214:E218)</f>
        <v>1011892.19</v>
      </c>
      <c r="F219" s="1111">
        <f>SUM(F214:F218)</f>
        <v>1240833.03</v>
      </c>
      <c r="G219" s="1112">
        <f t="shared" si="24"/>
        <v>0</v>
      </c>
      <c r="H219" s="1112">
        <f t="shared" si="24"/>
        <v>0</v>
      </c>
      <c r="I219" s="1112">
        <f t="shared" si="24"/>
        <v>0</v>
      </c>
    </row>
    <row r="220" spans="1:12" ht="24.75" customHeight="1"/>
    <row r="224" spans="1:12">
      <c r="D224" s="1113"/>
      <c r="E224" s="1114"/>
    </row>
    <row r="227" spans="1:4">
      <c r="A227" s="56"/>
      <c r="D227" s="1113"/>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0"/>
  <sheetViews>
    <sheetView topLeftCell="A208" zoomScale="70" zoomScaleNormal="70" workbookViewId="0">
      <selection activeCell="F214" sqref="F21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8.14062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115" t="s">
        <v>297</v>
      </c>
      <c r="C1" s="1116"/>
      <c r="D1" s="1116"/>
      <c r="E1" s="1116"/>
      <c r="F1" s="1116"/>
      <c r="M1" s="2326" t="s">
        <v>298</v>
      </c>
      <c r="N1" s="2326"/>
      <c r="O1" s="2326"/>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299</v>
      </c>
      <c r="B13" s="5"/>
      <c r="C13" s="6"/>
      <c r="D13" s="6"/>
      <c r="E13" s="6"/>
      <c r="F13" s="6"/>
      <c r="G13" s="6"/>
      <c r="H13" s="6"/>
      <c r="I13" s="6"/>
      <c r="J13" s="6"/>
      <c r="K13" s="6"/>
      <c r="L13" s="6"/>
      <c r="M13" s="6"/>
      <c r="N13" s="6"/>
      <c r="O13" s="6"/>
    </row>
    <row r="14" spans="1:25">
      <c r="P14" s="7"/>
      <c r="Q14" s="7"/>
      <c r="R14" s="7"/>
      <c r="S14" s="7"/>
      <c r="T14" s="7"/>
      <c r="U14" s="7"/>
      <c r="V14" s="7"/>
      <c r="W14" s="7"/>
      <c r="X14" s="7"/>
    </row>
    <row r="15" spans="1:25" s="51" customFormat="1" ht="22.5" customHeight="1">
      <c r="A15" s="1117"/>
      <c r="B15" s="2327" t="s">
        <v>300</v>
      </c>
      <c r="C15" s="2327" t="s">
        <v>9</v>
      </c>
      <c r="D15" s="2327" t="s">
        <v>5</v>
      </c>
      <c r="E15" s="2327"/>
      <c r="F15" s="2327"/>
      <c r="G15" s="2327"/>
      <c r="H15" s="1118"/>
      <c r="I15" s="1119" t="s">
        <v>6</v>
      </c>
      <c r="J15" s="1120"/>
      <c r="K15" s="1120"/>
      <c r="L15" s="1120"/>
      <c r="M15" s="1120"/>
      <c r="N15" s="1120"/>
      <c r="O15" s="1118"/>
      <c r="P15" s="15"/>
      <c r="Q15" s="16"/>
      <c r="R15" s="17"/>
      <c r="S15" s="17"/>
      <c r="T15" s="17"/>
      <c r="U15" s="17"/>
      <c r="V15" s="17"/>
      <c r="W15" s="15"/>
      <c r="X15" s="15"/>
      <c r="Y15" s="16"/>
    </row>
    <row r="16" spans="1:25" s="56" customFormat="1" ht="147.75" customHeight="1">
      <c r="A16" s="1121" t="s">
        <v>7</v>
      </c>
      <c r="B16" s="2327"/>
      <c r="C16" s="2327"/>
      <c r="D16" s="1122" t="s">
        <v>10</v>
      </c>
      <c r="E16" s="1122" t="s">
        <v>11</v>
      </c>
      <c r="F16" s="1122" t="s">
        <v>12</v>
      </c>
      <c r="G16" s="1123" t="s">
        <v>13</v>
      </c>
      <c r="H16" s="1124" t="s">
        <v>14</v>
      </c>
      <c r="I16" s="1125" t="s">
        <v>15</v>
      </c>
      <c r="J16" s="1125" t="s">
        <v>16</v>
      </c>
      <c r="K16" s="1125" t="s">
        <v>17</v>
      </c>
      <c r="L16" s="1125" t="s">
        <v>18</v>
      </c>
      <c r="M16" s="1124" t="s">
        <v>19</v>
      </c>
      <c r="N16" s="1125" t="s">
        <v>20</v>
      </c>
      <c r="O16" s="1125" t="s">
        <v>21</v>
      </c>
      <c r="P16" s="28"/>
      <c r="Q16" s="28"/>
      <c r="R16" s="28"/>
      <c r="S16" s="28"/>
      <c r="T16" s="28"/>
      <c r="U16" s="28"/>
      <c r="V16" s="28"/>
      <c r="W16" s="28"/>
      <c r="X16" s="28"/>
      <c r="Y16" s="28"/>
    </row>
    <row r="17" spans="1:25" ht="15" customHeight="1">
      <c r="A17" s="2328" t="s">
        <v>301</v>
      </c>
      <c r="B17" s="2325"/>
      <c r="C17" s="1126">
        <v>2014</v>
      </c>
      <c r="D17" s="1126"/>
      <c r="E17" s="1126"/>
      <c r="F17" s="1126"/>
      <c r="G17" s="1127">
        <f t="shared" ref="G17:G23" si="0">SUM(D17:F17)</f>
        <v>0</v>
      </c>
      <c r="H17" s="1126"/>
      <c r="I17" s="1126"/>
      <c r="J17" s="1126"/>
      <c r="K17" s="1126"/>
      <c r="L17" s="1126"/>
      <c r="M17" s="1126"/>
      <c r="N17" s="1126"/>
      <c r="O17" s="1126"/>
      <c r="P17" s="35"/>
      <c r="Q17" s="35"/>
      <c r="R17" s="35"/>
      <c r="S17" s="35"/>
      <c r="T17" s="35"/>
      <c r="U17" s="35"/>
      <c r="V17" s="35"/>
      <c r="W17" s="35"/>
      <c r="X17" s="35"/>
      <c r="Y17" s="35"/>
    </row>
    <row r="18" spans="1:25">
      <c r="A18" s="2316" t="s">
        <v>302</v>
      </c>
      <c r="B18" s="2317"/>
      <c r="C18" s="1128">
        <v>2015</v>
      </c>
      <c r="D18" s="1128">
        <v>11</v>
      </c>
      <c r="E18" s="1129">
        <v>1</v>
      </c>
      <c r="F18" s="1128">
        <v>1</v>
      </c>
      <c r="G18" s="1127">
        <f>SUM(D18:F18)</f>
        <v>13</v>
      </c>
      <c r="H18" s="1128">
        <v>1</v>
      </c>
      <c r="I18" s="1128">
        <v>1</v>
      </c>
      <c r="J18" s="1128"/>
      <c r="K18" s="1128">
        <v>3</v>
      </c>
      <c r="L18" s="1128"/>
      <c r="M18" s="1128">
        <v>3</v>
      </c>
      <c r="N18" s="1128"/>
      <c r="O18" s="1130">
        <v>5</v>
      </c>
      <c r="P18" s="35"/>
      <c r="Q18" s="35"/>
      <c r="R18" s="35"/>
      <c r="S18" s="35"/>
      <c r="T18" s="35"/>
      <c r="U18" s="35"/>
      <c r="V18" s="35"/>
      <c r="W18" s="35"/>
      <c r="X18" s="35"/>
      <c r="Y18" s="35"/>
    </row>
    <row r="19" spans="1:25">
      <c r="A19" s="1131" t="s">
        <v>303</v>
      </c>
      <c r="B19" s="1132"/>
      <c r="C19" s="1128">
        <v>2016</v>
      </c>
      <c r="D19" s="1128">
        <v>28</v>
      </c>
      <c r="E19" s="1128">
        <v>0</v>
      </c>
      <c r="F19" s="1128">
        <v>1</v>
      </c>
      <c r="G19" s="1127">
        <f t="shared" si="0"/>
        <v>29</v>
      </c>
      <c r="H19" s="1128">
        <v>0</v>
      </c>
      <c r="I19" s="1128">
        <f>8</f>
        <v>8</v>
      </c>
      <c r="J19" s="1128">
        <v>0</v>
      </c>
      <c r="K19" s="1128">
        <f>9</f>
        <v>9</v>
      </c>
      <c r="L19" s="1128">
        <f>0+2</f>
        <v>2</v>
      </c>
      <c r="M19" s="1128">
        <v>0</v>
      </c>
      <c r="N19" s="1128">
        <v>0</v>
      </c>
      <c r="O19" s="1130">
        <f>8+2</f>
        <v>10</v>
      </c>
      <c r="P19" s="35"/>
      <c r="Q19" s="35"/>
      <c r="R19" s="35"/>
      <c r="S19" s="35"/>
      <c r="T19" s="35"/>
      <c r="U19" s="35"/>
      <c r="V19" s="35"/>
      <c r="W19" s="35"/>
      <c r="X19" s="35"/>
      <c r="Y19" s="35"/>
    </row>
    <row r="20" spans="1:25">
      <c r="A20" s="1131" t="s">
        <v>304</v>
      </c>
      <c r="B20" s="1132"/>
      <c r="C20" s="1128">
        <v>2017</v>
      </c>
      <c r="D20" s="1133">
        <v>41</v>
      </c>
      <c r="E20" s="1128">
        <v>0</v>
      </c>
      <c r="F20" s="1128">
        <v>0</v>
      </c>
      <c r="G20" s="1127">
        <f t="shared" si="0"/>
        <v>41</v>
      </c>
      <c r="H20" s="1133">
        <v>13</v>
      </c>
      <c r="I20" s="1133">
        <v>5</v>
      </c>
      <c r="J20" s="1128">
        <v>0</v>
      </c>
      <c r="K20" s="1133">
        <v>15</v>
      </c>
      <c r="L20" s="1128">
        <v>1</v>
      </c>
      <c r="M20" s="1133">
        <v>3</v>
      </c>
      <c r="N20" s="1128">
        <v>0</v>
      </c>
      <c r="O20" s="1134">
        <v>4</v>
      </c>
      <c r="P20" s="35"/>
      <c r="Q20" s="35"/>
      <c r="R20" s="35"/>
      <c r="S20" s="35"/>
      <c r="T20" s="35"/>
      <c r="U20" s="35"/>
      <c r="V20" s="35"/>
      <c r="W20" s="35"/>
      <c r="X20" s="35"/>
      <c r="Y20" s="35"/>
    </row>
    <row r="21" spans="1:25">
      <c r="A21" s="1131" t="s">
        <v>305</v>
      </c>
      <c r="B21" s="1132"/>
      <c r="C21" s="1128">
        <v>2018</v>
      </c>
      <c r="D21" s="1128"/>
      <c r="E21" s="1128"/>
      <c r="F21" s="1128"/>
      <c r="G21" s="1127">
        <f t="shared" si="0"/>
        <v>0</v>
      </c>
      <c r="H21" s="1128"/>
      <c r="I21" s="1128"/>
      <c r="J21" s="1128"/>
      <c r="K21" s="1128"/>
      <c r="L21" s="1128"/>
      <c r="M21" s="1128"/>
      <c r="N21" s="1128"/>
      <c r="O21" s="1130"/>
      <c r="P21" s="35"/>
      <c r="Q21" s="35"/>
      <c r="R21" s="35"/>
      <c r="S21" s="35"/>
      <c r="T21" s="35"/>
      <c r="U21" s="35"/>
      <c r="V21" s="35"/>
      <c r="W21" s="35"/>
      <c r="X21" s="35"/>
      <c r="Y21" s="35"/>
    </row>
    <row r="22" spans="1:25">
      <c r="A22" s="1131"/>
      <c r="B22" s="1132"/>
      <c r="C22" s="1135">
        <v>2019</v>
      </c>
      <c r="D22" s="1128"/>
      <c r="E22" s="1128"/>
      <c r="F22" s="1128"/>
      <c r="G22" s="1127">
        <f>SUM(D22:F22)</f>
        <v>0</v>
      </c>
      <c r="H22" s="1128"/>
      <c r="I22" s="1128"/>
      <c r="J22" s="1128"/>
      <c r="K22" s="1128"/>
      <c r="L22" s="1128"/>
      <c r="M22" s="1128"/>
      <c r="N22" s="1128"/>
      <c r="O22" s="1130"/>
      <c r="P22" s="35"/>
      <c r="Q22" s="35"/>
      <c r="R22" s="35"/>
      <c r="S22" s="35"/>
      <c r="T22" s="35"/>
      <c r="U22" s="35"/>
      <c r="V22" s="35"/>
      <c r="W22" s="35"/>
      <c r="X22" s="35"/>
      <c r="Y22" s="35"/>
    </row>
    <row r="23" spans="1:25">
      <c r="A23" s="1131" t="s">
        <v>306</v>
      </c>
      <c r="B23" s="1132"/>
      <c r="C23" s="1128">
        <v>2020</v>
      </c>
      <c r="D23" s="1128"/>
      <c r="E23" s="1128"/>
      <c r="F23" s="1128"/>
      <c r="G23" s="1127">
        <f t="shared" si="0"/>
        <v>0</v>
      </c>
      <c r="H23" s="1128"/>
      <c r="I23" s="1128"/>
      <c r="J23" s="1128"/>
      <c r="K23" s="1128"/>
      <c r="L23" s="1128"/>
      <c r="M23" s="1128"/>
      <c r="N23" s="1128"/>
      <c r="O23" s="1130"/>
      <c r="P23" s="35"/>
      <c r="Q23" s="35"/>
      <c r="R23" s="35"/>
      <c r="S23" s="35"/>
      <c r="T23" s="35"/>
      <c r="U23" s="35"/>
      <c r="V23" s="35"/>
      <c r="W23" s="35"/>
      <c r="X23" s="35"/>
      <c r="Y23" s="35"/>
    </row>
    <row r="24" spans="1:25" ht="25.5">
      <c r="A24" s="1136" t="s">
        <v>307</v>
      </c>
      <c r="B24" s="1137"/>
      <c r="C24" s="1138" t="s">
        <v>13</v>
      </c>
      <c r="D24" s="1127">
        <f>SUM(D17:D23)</f>
        <v>80</v>
      </c>
      <c r="E24" s="1127">
        <f>SUM(E17:E23)</f>
        <v>1</v>
      </c>
      <c r="F24" s="1127">
        <f>SUM(F17:F23)</f>
        <v>2</v>
      </c>
      <c r="G24" s="1127">
        <f>SUM(D24:F24)</f>
        <v>83</v>
      </c>
      <c r="H24" s="1127">
        <f>SUM(H17:H23)</f>
        <v>14</v>
      </c>
      <c r="I24" s="1127">
        <f>SUM(I17:I23)</f>
        <v>14</v>
      </c>
      <c r="J24" s="1127">
        <f t="shared" ref="J24:N24" si="1">SUM(J17:J23)</f>
        <v>0</v>
      </c>
      <c r="K24" s="1127">
        <f t="shared" si="1"/>
        <v>27</v>
      </c>
      <c r="L24" s="1127">
        <f t="shared" si="1"/>
        <v>3</v>
      </c>
      <c r="M24" s="1127">
        <f t="shared" si="1"/>
        <v>6</v>
      </c>
      <c r="N24" s="1127">
        <f t="shared" si="1"/>
        <v>0</v>
      </c>
      <c r="O24" s="1127">
        <f>SUM(O17:O23)</f>
        <v>19</v>
      </c>
      <c r="P24" s="35"/>
      <c r="Q24" s="35"/>
      <c r="R24" s="35"/>
      <c r="S24" s="35"/>
      <c r="T24" s="35"/>
      <c r="U24" s="35"/>
      <c r="V24" s="35"/>
      <c r="W24" s="35"/>
      <c r="X24" s="35"/>
      <c r="Y24" s="35"/>
    </row>
    <row r="25" spans="1:25" ht="30" customHeight="1">
      <c r="A25" s="1139"/>
      <c r="C25" s="49"/>
      <c r="H25" s="7"/>
      <c r="I25" s="7"/>
      <c r="J25" s="7"/>
      <c r="K25" s="7"/>
      <c r="L25" s="7"/>
      <c r="M25" s="7"/>
      <c r="N25" s="7"/>
      <c r="O25" s="7"/>
      <c r="P25" s="7"/>
      <c r="Q25" s="7"/>
    </row>
    <row r="26" spans="1:25" s="51" customFormat="1" ht="30.75" customHeight="1">
      <c r="A26" s="1117"/>
      <c r="B26" s="2327" t="s">
        <v>300</v>
      </c>
      <c r="C26" s="2327" t="s">
        <v>9</v>
      </c>
      <c r="D26" s="2327" t="s">
        <v>5</v>
      </c>
      <c r="E26" s="2327"/>
      <c r="F26" s="2327"/>
      <c r="G26" s="2327"/>
      <c r="H26" s="15"/>
      <c r="I26" s="16"/>
      <c r="J26" s="17"/>
      <c r="K26" s="17"/>
      <c r="L26" s="17"/>
      <c r="M26" s="17"/>
      <c r="N26" s="17"/>
      <c r="O26" s="15"/>
      <c r="P26" s="15"/>
    </row>
    <row r="27" spans="1:25" s="56" customFormat="1" ht="93" customHeight="1">
      <c r="A27" s="1121" t="s">
        <v>308</v>
      </c>
      <c r="B27" s="2327"/>
      <c r="C27" s="2327"/>
      <c r="D27" s="1122" t="s">
        <v>10</v>
      </c>
      <c r="E27" s="1122" t="s">
        <v>11</v>
      </c>
      <c r="F27" s="1122" t="s">
        <v>12</v>
      </c>
      <c r="G27" s="1140" t="s">
        <v>13</v>
      </c>
      <c r="H27" s="28"/>
      <c r="I27" s="28"/>
      <c r="J27" s="28"/>
      <c r="K27" s="28"/>
      <c r="L27" s="28"/>
      <c r="M27" s="28"/>
      <c r="N27" s="28"/>
      <c r="O27" s="28"/>
      <c r="P27" s="28"/>
      <c r="Q27" s="51"/>
    </row>
    <row r="28" spans="1:25" ht="15" customHeight="1">
      <c r="A28" s="2324" t="s">
        <v>309</v>
      </c>
      <c r="B28" s="2325"/>
      <c r="C28" s="1126">
        <v>2014</v>
      </c>
      <c r="D28" s="1126"/>
      <c r="E28" s="1126"/>
      <c r="F28" s="1126"/>
      <c r="G28" s="1127">
        <f>SUM(D28:F28)</f>
        <v>0</v>
      </c>
      <c r="H28" s="35"/>
      <c r="I28" s="35"/>
      <c r="J28" s="35"/>
      <c r="K28" s="35"/>
      <c r="L28" s="35"/>
      <c r="M28" s="35"/>
      <c r="N28" s="35"/>
      <c r="O28" s="35"/>
      <c r="P28" s="35"/>
      <c r="Q28" s="7"/>
    </row>
    <row r="29" spans="1:25" ht="12.75" customHeight="1">
      <c r="A29" s="2316" t="s">
        <v>310</v>
      </c>
      <c r="B29" s="2317"/>
      <c r="C29" s="1128">
        <v>2015</v>
      </c>
      <c r="D29" s="1141">
        <v>6577</v>
      </c>
      <c r="E29" s="1141">
        <v>139</v>
      </c>
      <c r="F29" s="1141">
        <v>30</v>
      </c>
      <c r="G29" s="1142">
        <f t="shared" ref="G29:G35" si="2">SUM(D29:F29)</f>
        <v>6746</v>
      </c>
      <c r="H29" s="35"/>
      <c r="I29" s="35"/>
      <c r="J29" s="35"/>
      <c r="K29" s="35"/>
      <c r="L29" s="35"/>
      <c r="M29" s="35"/>
      <c r="N29" s="35"/>
      <c r="O29" s="35"/>
      <c r="P29" s="35"/>
      <c r="Q29" s="7"/>
    </row>
    <row r="30" spans="1:25">
      <c r="A30" s="2318" t="s">
        <v>311</v>
      </c>
      <c r="B30" s="2319"/>
      <c r="C30" s="1128">
        <v>2016</v>
      </c>
      <c r="D30" s="1141">
        <f>142063+161+3619</f>
        <v>145843</v>
      </c>
      <c r="E30" s="1143">
        <v>0</v>
      </c>
      <c r="F30" s="1143">
        <f>20000+0</f>
        <v>20000</v>
      </c>
      <c r="G30" s="1142">
        <f t="shared" si="2"/>
        <v>165843</v>
      </c>
      <c r="H30" s="35"/>
      <c r="I30" s="35"/>
      <c r="J30" s="35"/>
      <c r="K30" s="35"/>
      <c r="L30" s="35"/>
      <c r="M30" s="35"/>
      <c r="N30" s="35"/>
      <c r="O30" s="35"/>
      <c r="P30" s="35"/>
      <c r="Q30" s="7"/>
    </row>
    <row r="31" spans="1:25">
      <c r="A31" s="2281"/>
      <c r="B31" s="2319"/>
      <c r="C31" s="1128">
        <v>2017</v>
      </c>
      <c r="D31" s="1144">
        <v>22184</v>
      </c>
      <c r="E31" s="1141">
        <v>0</v>
      </c>
      <c r="F31" s="1141">
        <v>0</v>
      </c>
      <c r="G31" s="1142">
        <f t="shared" si="2"/>
        <v>22184</v>
      </c>
      <c r="H31" s="35"/>
      <c r="I31" s="35"/>
      <c r="J31" s="35"/>
      <c r="K31" s="35"/>
      <c r="L31" s="35"/>
      <c r="M31" s="35"/>
      <c r="N31" s="35"/>
      <c r="O31" s="35"/>
      <c r="P31" s="35"/>
      <c r="Q31" s="7"/>
    </row>
    <row r="32" spans="1:25">
      <c r="A32" s="2318"/>
      <c r="B32" s="2319"/>
      <c r="C32" s="1128">
        <v>2018</v>
      </c>
      <c r="D32" s="1141"/>
      <c r="E32" s="1141"/>
      <c r="F32" s="1141"/>
      <c r="G32" s="1142">
        <f>SUM(D32:F32)</f>
        <v>0</v>
      </c>
      <c r="H32" s="35"/>
      <c r="I32" s="35"/>
      <c r="J32" s="35"/>
      <c r="K32" s="35"/>
      <c r="L32" s="35"/>
      <c r="M32" s="35"/>
      <c r="N32" s="35"/>
      <c r="O32" s="35"/>
      <c r="P32" s="35"/>
      <c r="Q32" s="7"/>
    </row>
    <row r="33" spans="1:17">
      <c r="A33" s="2310"/>
      <c r="B33" s="2311"/>
      <c r="C33" s="1135">
        <v>2019</v>
      </c>
      <c r="D33" s="1141"/>
      <c r="E33" s="1141"/>
      <c r="F33" s="1141"/>
      <c r="G33" s="1142">
        <f t="shared" si="2"/>
        <v>0</v>
      </c>
      <c r="H33" s="35"/>
      <c r="I33" s="35"/>
      <c r="J33" s="35"/>
      <c r="K33" s="35"/>
      <c r="L33" s="35"/>
      <c r="M33" s="35"/>
      <c r="N33" s="35"/>
      <c r="O33" s="35"/>
      <c r="P33" s="35"/>
      <c r="Q33" s="7"/>
    </row>
    <row r="34" spans="1:17">
      <c r="A34" s="2310"/>
      <c r="B34" s="2311"/>
      <c r="C34" s="1128">
        <v>2020</v>
      </c>
      <c r="D34" s="1141"/>
      <c r="E34" s="1141"/>
      <c r="F34" s="1141"/>
      <c r="G34" s="1142">
        <f t="shared" si="2"/>
        <v>0</v>
      </c>
      <c r="H34" s="35"/>
      <c r="I34" s="35"/>
      <c r="J34" s="35"/>
      <c r="K34" s="35"/>
      <c r="L34" s="35"/>
      <c r="M34" s="35"/>
      <c r="N34" s="35"/>
      <c r="O34" s="35"/>
      <c r="P34" s="35"/>
      <c r="Q34" s="7"/>
    </row>
    <row r="35" spans="1:17" ht="20.25" customHeight="1">
      <c r="A35" s="2312"/>
      <c r="B35" s="2313"/>
      <c r="C35" s="1138" t="s">
        <v>13</v>
      </c>
      <c r="D35" s="1142">
        <f>SUM(D28:D34)</f>
        <v>174604</v>
      </c>
      <c r="E35" s="1142">
        <f>SUM(E28:E34)</f>
        <v>139</v>
      </c>
      <c r="F35" s="1142">
        <f>SUM(F28:F34)</f>
        <v>20030</v>
      </c>
      <c r="G35" s="1142">
        <f t="shared" si="2"/>
        <v>194773</v>
      </c>
      <c r="H35" s="35"/>
      <c r="I35" s="35"/>
      <c r="J35" s="35"/>
      <c r="K35" s="35"/>
      <c r="L35" s="35"/>
      <c r="M35" s="35"/>
      <c r="N35" s="35"/>
      <c r="O35" s="35"/>
      <c r="P35" s="35"/>
      <c r="Q35" s="7"/>
    </row>
    <row r="36" spans="1:17">
      <c r="A36" s="1145" t="s">
        <v>312</v>
      </c>
      <c r="B36" s="1145"/>
      <c r="C36" s="1146"/>
      <c r="D36" s="1147"/>
      <c r="E36" s="1147"/>
      <c r="F36" s="1147"/>
      <c r="G36" s="1147"/>
      <c r="H36" s="7"/>
      <c r="I36" s="7"/>
      <c r="J36" s="7"/>
      <c r="K36" s="7"/>
      <c r="L36" s="7"/>
      <c r="M36" s="7"/>
      <c r="N36" s="7"/>
      <c r="O36" s="7"/>
      <c r="P36" s="7"/>
      <c r="Q36" s="7"/>
    </row>
    <row r="37" spans="1:17" ht="21" customHeight="1">
      <c r="A37" s="1148" t="s">
        <v>25</v>
      </c>
      <c r="B37" s="1148"/>
      <c r="C37" s="1149"/>
      <c r="D37" s="1149"/>
      <c r="E37" s="1149"/>
      <c r="F37" s="1150"/>
      <c r="G37" s="1150"/>
      <c r="H37" s="35"/>
      <c r="I37" s="65"/>
      <c r="J37" s="65"/>
      <c r="K37" s="65"/>
    </row>
    <row r="38" spans="1:17" ht="12.75" customHeight="1">
      <c r="G38" s="35"/>
      <c r="H38" s="35"/>
    </row>
    <row r="39" spans="1:17" ht="88.5" customHeight="1">
      <c r="A39" s="1151" t="s">
        <v>26</v>
      </c>
      <c r="B39" s="1152" t="s">
        <v>300</v>
      </c>
      <c r="C39" s="1153" t="s">
        <v>9</v>
      </c>
      <c r="D39" s="1154" t="s">
        <v>28</v>
      </c>
      <c r="E39" s="1154" t="s">
        <v>29</v>
      </c>
      <c r="F39" s="71"/>
      <c r="G39" s="28"/>
      <c r="H39" s="28"/>
    </row>
    <row r="40" spans="1:17">
      <c r="A40" s="2320" t="s">
        <v>313</v>
      </c>
      <c r="B40" s="2321"/>
      <c r="C40" s="1155">
        <v>2014</v>
      </c>
      <c r="D40" s="1126"/>
      <c r="E40" s="1126"/>
      <c r="F40" s="7"/>
      <c r="G40" s="35"/>
      <c r="H40" s="35"/>
    </row>
    <row r="41" spans="1:17" ht="15.75" customHeight="1">
      <c r="A41" s="2322"/>
      <c r="B41" s="2323"/>
      <c r="C41" s="1156">
        <v>2015</v>
      </c>
      <c r="D41" s="1128">
        <v>34347</v>
      </c>
      <c r="E41" s="1128">
        <v>20901</v>
      </c>
      <c r="F41" s="7"/>
      <c r="G41" s="35"/>
      <c r="H41" s="35"/>
    </row>
    <row r="42" spans="1:17" ht="15" customHeight="1">
      <c r="A42" s="2322" t="s">
        <v>314</v>
      </c>
      <c r="B42" s="2323"/>
      <c r="C42" s="1157">
        <v>2016</v>
      </c>
      <c r="D42" s="1129">
        <v>9879</v>
      </c>
      <c r="E42" s="1129">
        <v>3402</v>
      </c>
      <c r="F42" s="7"/>
      <c r="G42" s="35"/>
      <c r="H42" s="35"/>
    </row>
    <row r="43" spans="1:17">
      <c r="A43" s="2322"/>
      <c r="B43" s="2323"/>
      <c r="C43" s="1156">
        <v>2017</v>
      </c>
      <c r="D43" s="1128">
        <v>14220</v>
      </c>
      <c r="E43" s="1128">
        <v>5358</v>
      </c>
      <c r="F43" s="7"/>
      <c r="G43" s="35"/>
      <c r="H43" s="35"/>
    </row>
    <row r="44" spans="1:17">
      <c r="A44" s="1158"/>
      <c r="B44" s="1159"/>
      <c r="C44" s="1156">
        <v>2018</v>
      </c>
      <c r="D44" s="1128"/>
      <c r="E44" s="1128"/>
      <c r="F44" s="7"/>
      <c r="G44" s="35"/>
      <c r="H44" s="35"/>
    </row>
    <row r="45" spans="1:17">
      <c r="A45" s="1158"/>
      <c r="B45" s="1159"/>
      <c r="C45" s="1156">
        <v>2019</v>
      </c>
      <c r="D45" s="1128"/>
      <c r="E45" s="1128"/>
      <c r="F45" s="7"/>
      <c r="G45" s="35"/>
      <c r="H45" s="35"/>
    </row>
    <row r="46" spans="1:17">
      <c r="A46" s="1158"/>
      <c r="B46" s="1159"/>
      <c r="C46" s="1156">
        <v>2020</v>
      </c>
      <c r="D46" s="1128"/>
      <c r="E46" s="1128"/>
      <c r="F46" s="7"/>
      <c r="G46" s="35"/>
      <c r="H46" s="35"/>
    </row>
    <row r="47" spans="1:17">
      <c r="A47" s="1160"/>
      <c r="B47" s="1161"/>
      <c r="C47" s="1138" t="s">
        <v>13</v>
      </c>
      <c r="D47" s="1127">
        <f>SUM(D40:D46)</f>
        <v>58446</v>
      </c>
      <c r="E47" s="1127">
        <f>SUM(E40:E46)</f>
        <v>29661</v>
      </c>
      <c r="F47" s="78"/>
      <c r="G47" s="35"/>
      <c r="H47" s="35"/>
    </row>
    <row r="48" spans="1:17" s="35" customFormat="1">
      <c r="A48" s="197"/>
      <c r="B48" s="80"/>
      <c r="C48" s="81"/>
    </row>
    <row r="49" spans="1:15" ht="83.25" customHeight="1">
      <c r="A49" s="1162" t="s">
        <v>32</v>
      </c>
      <c r="B49" s="1163" t="s">
        <v>300</v>
      </c>
      <c r="C49" s="1153" t="s">
        <v>9</v>
      </c>
      <c r="D49" s="1154" t="s">
        <v>34</v>
      </c>
      <c r="E49" s="1154" t="s">
        <v>35</v>
      </c>
      <c r="F49" s="1154" t="s">
        <v>36</v>
      </c>
      <c r="G49" s="1154" t="s">
        <v>37</v>
      </c>
      <c r="H49" s="1154" t="s">
        <v>38</v>
      </c>
      <c r="I49" s="1154" t="s">
        <v>39</v>
      </c>
      <c r="J49" s="1154" t="s">
        <v>40</v>
      </c>
      <c r="K49" s="1154" t="s">
        <v>41</v>
      </c>
    </row>
    <row r="50" spans="1:15" ht="17.25" customHeight="1">
      <c r="A50" s="2279" t="s">
        <v>315</v>
      </c>
      <c r="B50" s="2280"/>
      <c r="C50" s="1164" t="s">
        <v>43</v>
      </c>
      <c r="D50" s="1126"/>
      <c r="E50" s="1126"/>
      <c r="F50" s="1126"/>
      <c r="G50" s="1126"/>
      <c r="H50" s="1126"/>
      <c r="I50" s="1126"/>
      <c r="J50" s="1126"/>
      <c r="K50" s="1126"/>
    </row>
    <row r="51" spans="1:15" ht="22.5" customHeight="1">
      <c r="A51" s="2318" t="s">
        <v>316</v>
      </c>
      <c r="B51" s="2319"/>
      <c r="C51" s="1165">
        <v>2014</v>
      </c>
      <c r="D51" s="1128"/>
      <c r="E51" s="1128"/>
      <c r="F51" s="1128"/>
      <c r="G51" s="1128"/>
      <c r="H51" s="1128"/>
      <c r="I51" s="1128"/>
      <c r="J51" s="1128"/>
      <c r="K51" s="1128"/>
    </row>
    <row r="52" spans="1:15">
      <c r="A52" s="2318"/>
      <c r="B52" s="2319"/>
      <c r="C52" s="1165">
        <v>2015</v>
      </c>
      <c r="D52" s="1128">
        <v>0</v>
      </c>
      <c r="E52" s="1128">
        <v>0</v>
      </c>
      <c r="F52" s="1128">
        <v>0</v>
      </c>
      <c r="G52" s="1128">
        <v>0</v>
      </c>
      <c r="H52" s="1128">
        <v>0</v>
      </c>
      <c r="I52" s="1128">
        <v>0</v>
      </c>
      <c r="J52" s="1128">
        <v>0</v>
      </c>
      <c r="K52" s="1128">
        <v>0</v>
      </c>
    </row>
    <row r="53" spans="1:15">
      <c r="A53" s="2310"/>
      <c r="B53" s="2311"/>
      <c r="C53" s="1165">
        <v>2016</v>
      </c>
      <c r="D53" s="1128">
        <v>0</v>
      </c>
      <c r="E53" s="1128">
        <v>1</v>
      </c>
      <c r="F53" s="1128">
        <v>0</v>
      </c>
      <c r="G53" s="1128">
        <v>0</v>
      </c>
      <c r="H53" s="1128">
        <v>0</v>
      </c>
      <c r="I53" s="1128">
        <v>0</v>
      </c>
      <c r="J53" s="1128">
        <v>0</v>
      </c>
      <c r="K53" s="1128">
        <v>0</v>
      </c>
    </row>
    <row r="54" spans="1:15">
      <c r="A54" s="2310"/>
      <c r="B54" s="2311"/>
      <c r="C54" s="1165">
        <v>2017</v>
      </c>
      <c r="D54" s="1128">
        <v>0</v>
      </c>
      <c r="E54" s="1128">
        <v>0</v>
      </c>
      <c r="F54" s="1128">
        <v>0</v>
      </c>
      <c r="G54" s="1128">
        <v>0</v>
      </c>
      <c r="H54" s="1128">
        <v>0</v>
      </c>
      <c r="I54" s="1128">
        <v>0</v>
      </c>
      <c r="J54" s="1128">
        <v>0</v>
      </c>
      <c r="K54" s="1128">
        <v>0</v>
      </c>
    </row>
    <row r="55" spans="1:15">
      <c r="A55" s="2310"/>
      <c r="B55" s="2311"/>
      <c r="C55" s="1165">
        <v>2018</v>
      </c>
      <c r="D55" s="1128"/>
      <c r="E55" s="1128"/>
      <c r="F55" s="1128"/>
      <c r="G55" s="1128"/>
      <c r="H55" s="1128"/>
      <c r="I55" s="1128"/>
      <c r="J55" s="1128"/>
      <c r="K55" s="1128"/>
    </row>
    <row r="56" spans="1:15">
      <c r="A56" s="2310"/>
      <c r="B56" s="2311"/>
      <c r="C56" s="1165">
        <v>2019</v>
      </c>
      <c r="D56" s="1128"/>
      <c r="E56" s="1128"/>
      <c r="F56" s="1128"/>
      <c r="G56" s="1128"/>
      <c r="H56" s="1128"/>
      <c r="I56" s="1128"/>
      <c r="J56" s="1128"/>
      <c r="K56" s="1128"/>
    </row>
    <row r="57" spans="1:15">
      <c r="A57" s="2310"/>
      <c r="B57" s="2311"/>
      <c r="C57" s="1165">
        <v>2020</v>
      </c>
      <c r="D57" s="1128"/>
      <c r="E57" s="1128"/>
      <c r="F57" s="1128"/>
      <c r="G57" s="1128"/>
      <c r="H57" s="1128"/>
      <c r="I57" s="1128"/>
      <c r="J57" s="1128"/>
      <c r="K57" s="1128"/>
    </row>
    <row r="58" spans="1:15" ht="20.25" customHeight="1">
      <c r="A58" s="2312"/>
      <c r="B58" s="2313"/>
      <c r="C58" s="1166" t="s">
        <v>13</v>
      </c>
      <c r="D58" s="1127">
        <f>SUM(D51:D57)</f>
        <v>0</v>
      </c>
      <c r="E58" s="1127">
        <f>SUM(E51:E57)</f>
        <v>1</v>
      </c>
      <c r="F58" s="1127">
        <f>SUM(F51:F57)</f>
        <v>0</v>
      </c>
      <c r="G58" s="1127">
        <f>SUM(G51:G57)</f>
        <v>0</v>
      </c>
      <c r="H58" s="1127">
        <f>SUM(H51:H57)</f>
        <v>0</v>
      </c>
      <c r="I58" s="1127">
        <f t="shared" ref="I58" si="3">SUM(I51:I57)</f>
        <v>0</v>
      </c>
      <c r="J58" s="1127">
        <f>SUM(J51:J57)</f>
        <v>0</v>
      </c>
      <c r="K58" s="1127">
        <f>SUM(K50:K56)</f>
        <v>0</v>
      </c>
    </row>
    <row r="60" spans="1:15" ht="21" customHeight="1">
      <c r="A60" s="2314" t="s">
        <v>44</v>
      </c>
      <c r="B60" s="2315" t="s">
        <v>300</v>
      </c>
      <c r="C60" s="2307" t="s">
        <v>9</v>
      </c>
      <c r="D60" s="2308" t="s">
        <v>45</v>
      </c>
      <c r="E60" s="1167" t="s">
        <v>6</v>
      </c>
      <c r="F60" s="1168"/>
      <c r="G60" s="1168"/>
      <c r="H60" s="1168"/>
      <c r="I60" s="1168"/>
      <c r="J60" s="1168"/>
      <c r="K60" s="1168"/>
      <c r="L60" s="1168"/>
    </row>
    <row r="61" spans="1:15" ht="115.5" customHeight="1">
      <c r="A61" s="2314"/>
      <c r="B61" s="2315"/>
      <c r="C61" s="2307"/>
      <c r="D61" s="2308"/>
      <c r="E61" s="1169" t="s">
        <v>14</v>
      </c>
      <c r="F61" s="1170" t="s">
        <v>15</v>
      </c>
      <c r="G61" s="1170" t="s">
        <v>16</v>
      </c>
      <c r="H61" s="1170" t="s">
        <v>17</v>
      </c>
      <c r="I61" s="1170" t="s">
        <v>18</v>
      </c>
      <c r="J61" s="1169" t="s">
        <v>19</v>
      </c>
      <c r="K61" s="1170" t="s">
        <v>20</v>
      </c>
      <c r="L61" s="1170" t="s">
        <v>21</v>
      </c>
      <c r="M61" s="7"/>
      <c r="N61" s="7"/>
      <c r="O61" s="7"/>
    </row>
    <row r="62" spans="1:15">
      <c r="A62" s="1171" t="s">
        <v>317</v>
      </c>
      <c r="B62" s="1172"/>
      <c r="C62" s="1126">
        <v>2014</v>
      </c>
      <c r="D62" s="1126"/>
      <c r="E62" s="1126"/>
      <c r="F62" s="1126"/>
      <c r="G62" s="1126"/>
      <c r="H62" s="1126"/>
      <c r="I62" s="1126"/>
      <c r="J62" s="1126"/>
      <c r="K62" s="1126"/>
      <c r="L62" s="1126"/>
      <c r="M62" s="7"/>
      <c r="N62" s="7"/>
      <c r="O62" s="7"/>
    </row>
    <row r="63" spans="1:15" ht="25.5" customHeight="1">
      <c r="A63" s="2261" t="s">
        <v>318</v>
      </c>
      <c r="B63" s="2292"/>
      <c r="C63" s="1128">
        <v>2015</v>
      </c>
      <c r="D63" s="1128">
        <v>0</v>
      </c>
      <c r="E63" s="1128">
        <v>0</v>
      </c>
      <c r="F63" s="1128">
        <v>0</v>
      </c>
      <c r="G63" s="1128">
        <v>0</v>
      </c>
      <c r="H63" s="1128">
        <v>0</v>
      </c>
      <c r="I63" s="1128">
        <v>0</v>
      </c>
      <c r="J63" s="1128">
        <v>0</v>
      </c>
      <c r="K63" s="1128">
        <v>0</v>
      </c>
      <c r="L63" s="1128">
        <v>0</v>
      </c>
      <c r="M63" s="7"/>
      <c r="N63" s="7"/>
      <c r="O63" s="7"/>
    </row>
    <row r="64" spans="1:15" ht="44.25" customHeight="1">
      <c r="A64" s="2261" t="s">
        <v>319</v>
      </c>
      <c r="B64" s="2292"/>
      <c r="C64" s="1128">
        <v>2016</v>
      </c>
      <c r="D64" s="1129">
        <f>E64+F64+G64+H64+I64+J64+K64+L64</f>
        <v>7</v>
      </c>
      <c r="E64" s="1128">
        <v>0</v>
      </c>
      <c r="F64" s="1128">
        <v>0</v>
      </c>
      <c r="G64" s="1128">
        <v>0</v>
      </c>
      <c r="H64" s="1128">
        <v>0</v>
      </c>
      <c r="I64" s="1128">
        <v>0</v>
      </c>
      <c r="J64" s="1128">
        <v>0</v>
      </c>
      <c r="K64" s="1128">
        <v>0</v>
      </c>
      <c r="L64" s="1129">
        <f>1+3+2+1</f>
        <v>7</v>
      </c>
      <c r="M64" s="7"/>
      <c r="N64" s="7"/>
      <c r="O64" s="7"/>
    </row>
    <row r="65" spans="1:20" ht="36" customHeight="1">
      <c r="A65" s="2261" t="s">
        <v>320</v>
      </c>
      <c r="B65" s="2292"/>
      <c r="C65" s="1128">
        <v>2017</v>
      </c>
      <c r="D65" s="1128">
        <v>3</v>
      </c>
      <c r="E65" s="1128">
        <v>0</v>
      </c>
      <c r="F65" s="1128">
        <v>0</v>
      </c>
      <c r="G65" s="1128">
        <v>0</v>
      </c>
      <c r="H65" s="1128">
        <v>0</v>
      </c>
      <c r="I65" s="1128">
        <v>0</v>
      </c>
      <c r="J65" s="1128">
        <v>0</v>
      </c>
      <c r="K65" s="1128">
        <v>0</v>
      </c>
      <c r="L65" s="1128">
        <v>3</v>
      </c>
      <c r="M65" s="7"/>
      <c r="N65" s="7"/>
      <c r="O65" s="7"/>
    </row>
    <row r="66" spans="1:20" ht="18.75" customHeight="1">
      <c r="A66" s="2309" t="s">
        <v>321</v>
      </c>
      <c r="B66" s="2292"/>
      <c r="C66" s="1128">
        <v>2018</v>
      </c>
      <c r="D66" s="1128"/>
      <c r="E66" s="1128"/>
      <c r="F66" s="1128"/>
      <c r="G66" s="1128"/>
      <c r="H66" s="1128"/>
      <c r="I66" s="1128"/>
      <c r="J66" s="1128"/>
      <c r="K66" s="1128"/>
      <c r="L66" s="1128"/>
      <c r="M66" s="7"/>
      <c r="N66" s="7"/>
      <c r="O66" s="7"/>
    </row>
    <row r="67" spans="1:20" ht="38.25" customHeight="1">
      <c r="A67" s="2261" t="s">
        <v>322</v>
      </c>
      <c r="B67" s="2292"/>
      <c r="C67" s="1128">
        <v>2019</v>
      </c>
      <c r="D67" s="1128"/>
      <c r="E67" s="1128"/>
      <c r="F67" s="1128"/>
      <c r="G67" s="1128"/>
      <c r="H67" s="1128"/>
      <c r="I67" s="1128"/>
      <c r="J67" s="1128"/>
      <c r="K67" s="1128"/>
      <c r="L67" s="1128"/>
      <c r="M67" s="7"/>
      <c r="N67" s="7"/>
      <c r="O67" s="7"/>
    </row>
    <row r="68" spans="1:20" ht="18.75" customHeight="1">
      <c r="A68" s="2261" t="s">
        <v>323</v>
      </c>
      <c r="B68" s="2292"/>
      <c r="C68" s="1128">
        <v>2020</v>
      </c>
      <c r="D68" s="1128"/>
      <c r="E68" s="1128"/>
      <c r="F68" s="1128"/>
      <c r="G68" s="1128"/>
      <c r="H68" s="1128"/>
      <c r="I68" s="1128"/>
      <c r="J68" s="1128"/>
      <c r="K68" s="1128"/>
      <c r="L68" s="1128"/>
      <c r="M68" s="78"/>
      <c r="N68" s="78"/>
      <c r="O68" s="78"/>
    </row>
    <row r="69" spans="1:20" ht="18" customHeight="1">
      <c r="A69" s="2293"/>
      <c r="B69" s="2294"/>
      <c r="C69" s="1173" t="s">
        <v>13</v>
      </c>
      <c r="D69" s="1174">
        <f>SUM(D62:D68)</f>
        <v>10</v>
      </c>
      <c r="E69" s="1175">
        <f>SUM(E62:E68)</f>
        <v>0</v>
      </c>
      <c r="F69" s="1175">
        <f t="shared" ref="F69:I69" si="4">SUM(F62:F68)</f>
        <v>0</v>
      </c>
      <c r="G69" s="1175">
        <f t="shared" si="4"/>
        <v>0</v>
      </c>
      <c r="H69" s="1175">
        <f t="shared" si="4"/>
        <v>0</v>
      </c>
      <c r="I69" s="1175">
        <f t="shared" si="4"/>
        <v>0</v>
      </c>
      <c r="J69" s="1175"/>
      <c r="K69" s="1175">
        <f>SUM(K62:K68)</f>
        <v>0</v>
      </c>
      <c r="L69" s="1175">
        <f>SUM(L62:L68)</f>
        <v>10</v>
      </c>
      <c r="M69" s="78"/>
      <c r="N69" s="78"/>
      <c r="O69" s="78"/>
    </row>
    <row r="70" spans="1:20" ht="20.25" customHeigh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151" t="s">
        <v>47</v>
      </c>
      <c r="B71" s="1152" t="s">
        <v>300</v>
      </c>
      <c r="C71" s="1153" t="s">
        <v>9</v>
      </c>
      <c r="D71" s="1176" t="s">
        <v>49</v>
      </c>
      <c r="E71" s="1176" t="s">
        <v>50</v>
      </c>
      <c r="F71" s="1176" t="s">
        <v>324</v>
      </c>
      <c r="G71" s="1177" t="s">
        <v>52</v>
      </c>
      <c r="H71" s="1169" t="s">
        <v>14</v>
      </c>
      <c r="I71" s="1170" t="s">
        <v>15</v>
      </c>
      <c r="J71" s="1170" t="s">
        <v>16</v>
      </c>
      <c r="K71" s="1170" t="s">
        <v>17</v>
      </c>
      <c r="L71" s="1170" t="s">
        <v>18</v>
      </c>
      <c r="M71" s="1169" t="s">
        <v>19</v>
      </c>
      <c r="N71" s="1170" t="s">
        <v>20</v>
      </c>
      <c r="O71" s="1170" t="s">
        <v>21</v>
      </c>
    </row>
    <row r="72" spans="1:20" ht="77.25" customHeight="1">
      <c r="A72" s="2295" t="s">
        <v>325</v>
      </c>
      <c r="B72" s="2296"/>
      <c r="C72" s="1155">
        <v>2014</v>
      </c>
      <c r="D72" s="1155"/>
      <c r="E72" s="1155"/>
      <c r="F72" s="1155"/>
      <c r="G72" s="1126">
        <f>SUM(D72:F72)</f>
        <v>0</v>
      </c>
      <c r="H72" s="1126"/>
      <c r="I72" s="1126"/>
      <c r="J72" s="1126"/>
      <c r="K72" s="1126"/>
      <c r="L72" s="1126"/>
      <c r="M72" s="1126"/>
      <c r="N72" s="1126"/>
      <c r="O72" s="1126"/>
    </row>
    <row r="73" spans="1:20" ht="66" customHeight="1">
      <c r="A73" s="2297"/>
      <c r="B73" s="2298"/>
      <c r="C73" s="1156">
        <v>2015</v>
      </c>
      <c r="D73" s="1156">
        <v>0</v>
      </c>
      <c r="E73" s="1156">
        <v>0</v>
      </c>
      <c r="F73" s="1156">
        <v>119</v>
      </c>
      <c r="G73" s="1175">
        <v>0</v>
      </c>
      <c r="H73" s="1128"/>
      <c r="I73" s="1128"/>
      <c r="J73" s="1128"/>
      <c r="K73" s="1128"/>
      <c r="L73" s="1128">
        <v>1</v>
      </c>
      <c r="M73" s="1128"/>
      <c r="N73" s="1128"/>
      <c r="O73" s="1128">
        <v>118</v>
      </c>
    </row>
    <row r="74" spans="1:20" ht="54" customHeight="1">
      <c r="A74" s="2297"/>
      <c r="B74" s="2298"/>
      <c r="C74" s="1156">
        <v>2016</v>
      </c>
      <c r="D74" s="1156">
        <f>624+35</f>
        <v>659</v>
      </c>
      <c r="E74" s="1157">
        <v>8</v>
      </c>
      <c r="F74" s="1156">
        <v>4</v>
      </c>
      <c r="G74" s="1175">
        <f t="shared" ref="G74:G78" si="5">SUM(D74:F74)</f>
        <v>671</v>
      </c>
      <c r="H74" s="1128">
        <v>0</v>
      </c>
      <c r="I74" s="1128">
        <f>1+1+1+1+1</f>
        <v>5</v>
      </c>
      <c r="J74" s="1128">
        <v>0</v>
      </c>
      <c r="K74" s="1128">
        <v>0</v>
      </c>
      <c r="L74" s="1128">
        <v>0</v>
      </c>
      <c r="M74" s="1128">
        <v>0</v>
      </c>
      <c r="N74" s="1128">
        <v>0</v>
      </c>
      <c r="O74" s="1128">
        <f>624+35+3+1+1+1+1</f>
        <v>666</v>
      </c>
    </row>
    <row r="75" spans="1:20" ht="69" customHeight="1">
      <c r="A75" s="2297"/>
      <c r="B75" s="2298"/>
      <c r="C75" s="1156">
        <v>2017</v>
      </c>
      <c r="D75" s="1156">
        <f>130+60+14</f>
        <v>204</v>
      </c>
      <c r="E75" s="1178">
        <v>9</v>
      </c>
      <c r="F75" s="1156">
        <v>7</v>
      </c>
      <c r="G75" s="1175">
        <f t="shared" si="5"/>
        <v>220</v>
      </c>
      <c r="H75" s="1133">
        <f>1+1</f>
        <v>2</v>
      </c>
      <c r="I75" s="1133">
        <f>60+1+1+1+1+1</f>
        <v>65</v>
      </c>
      <c r="J75" s="1128"/>
      <c r="K75" s="1133">
        <f>14+1+1+1+1+1+1</f>
        <v>20</v>
      </c>
      <c r="L75" s="1133">
        <f>1</f>
        <v>1</v>
      </c>
      <c r="M75" s="1128"/>
      <c r="N75" s="1128"/>
      <c r="O75" s="1128">
        <f>130+1+1</f>
        <v>132</v>
      </c>
    </row>
    <row r="76" spans="1:20" ht="72.75" customHeight="1">
      <c r="A76" s="2297"/>
      <c r="B76" s="2298"/>
      <c r="C76" s="1156">
        <v>2018</v>
      </c>
      <c r="D76" s="1156"/>
      <c r="E76" s="1156"/>
      <c r="F76" s="1156"/>
      <c r="G76" s="1175">
        <f t="shared" si="5"/>
        <v>0</v>
      </c>
      <c r="H76" s="1128"/>
      <c r="I76" s="1128"/>
      <c r="J76" s="1128"/>
      <c r="K76" s="1128"/>
      <c r="L76" s="1128"/>
      <c r="M76" s="1128"/>
      <c r="N76" s="1128"/>
      <c r="O76" s="1128"/>
    </row>
    <row r="77" spans="1:20" ht="75.75" customHeight="1">
      <c r="A77" s="2297"/>
      <c r="B77" s="2298"/>
      <c r="C77" s="1156">
        <v>2019</v>
      </c>
      <c r="D77" s="1156"/>
      <c r="E77" s="1156"/>
      <c r="F77" s="1156"/>
      <c r="G77" s="1175">
        <f t="shared" si="5"/>
        <v>0</v>
      </c>
      <c r="H77" s="1128"/>
      <c r="I77" s="1128"/>
      <c r="J77" s="1128"/>
      <c r="K77" s="1128"/>
      <c r="L77" s="1128"/>
      <c r="M77" s="1128"/>
      <c r="N77" s="1128"/>
      <c r="O77" s="1128"/>
    </row>
    <row r="78" spans="1:20" ht="75.75" customHeight="1">
      <c r="A78" s="2297"/>
      <c r="B78" s="2298"/>
      <c r="C78" s="1156">
        <v>2020</v>
      </c>
      <c r="D78" s="1156"/>
      <c r="E78" s="1156"/>
      <c r="F78" s="1156"/>
      <c r="G78" s="1175">
        <f t="shared" si="5"/>
        <v>0</v>
      </c>
      <c r="H78" s="1128"/>
      <c r="I78" s="1128"/>
      <c r="J78" s="1128"/>
      <c r="K78" s="1128"/>
      <c r="L78" s="1128"/>
      <c r="M78" s="1128"/>
      <c r="N78" s="1128"/>
      <c r="O78" s="1128"/>
    </row>
    <row r="79" spans="1:20" ht="81.75" customHeight="1">
      <c r="A79" s="2299"/>
      <c r="B79" s="2300"/>
      <c r="C79" s="1179" t="s">
        <v>13</v>
      </c>
      <c r="D79" s="1174">
        <f>SUM(D72:D78)</f>
        <v>863</v>
      </c>
      <c r="E79" s="1174">
        <f>SUM(E72:E78)</f>
        <v>17</v>
      </c>
      <c r="F79" s="1174">
        <f>SUM(F72:F78)</f>
        <v>130</v>
      </c>
      <c r="G79" s="1179">
        <f>SUM(G72:G78)</f>
        <v>891</v>
      </c>
      <c r="H79" s="1179">
        <v>0</v>
      </c>
      <c r="I79" s="1175">
        <f t="shared" ref="I79:O79" si="6">SUM(I72:I78)</f>
        <v>70</v>
      </c>
      <c r="J79" s="1175">
        <f t="shared" si="6"/>
        <v>0</v>
      </c>
      <c r="K79" s="1175">
        <f t="shared" si="6"/>
        <v>20</v>
      </c>
      <c r="L79" s="1175">
        <f t="shared" si="6"/>
        <v>2</v>
      </c>
      <c r="M79" s="1175">
        <f t="shared" si="6"/>
        <v>0</v>
      </c>
      <c r="N79" s="1175">
        <f t="shared" si="6"/>
        <v>0</v>
      </c>
      <c r="O79" s="1175">
        <f t="shared" si="6"/>
        <v>916</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c r="A83" s="146"/>
      <c r="B83" s="146"/>
    </row>
    <row r="84" spans="1:16" s="56" customFormat="1" ht="139.5" customHeight="1">
      <c r="A84" s="1180" t="s">
        <v>56</v>
      </c>
      <c r="B84" s="1181" t="s">
        <v>178</v>
      </c>
      <c r="C84" s="1182" t="s">
        <v>9</v>
      </c>
      <c r="D84" s="1183" t="s">
        <v>58</v>
      </c>
      <c r="E84" s="1184" t="s">
        <v>59</v>
      </c>
      <c r="F84" s="1184" t="s">
        <v>60</v>
      </c>
      <c r="G84" s="1184" t="s">
        <v>61</v>
      </c>
      <c r="H84" s="1184" t="s">
        <v>62</v>
      </c>
      <c r="I84" s="1184" t="s">
        <v>63</v>
      </c>
      <c r="J84" s="1184" t="s">
        <v>64</v>
      </c>
      <c r="K84" s="1184" t="s">
        <v>65</v>
      </c>
    </row>
    <row r="85" spans="1:16" ht="15" customHeight="1">
      <c r="A85" s="2301"/>
      <c r="B85" s="2302"/>
      <c r="C85" s="1185">
        <v>2014</v>
      </c>
      <c r="D85" s="1186"/>
      <c r="E85" s="1186"/>
      <c r="F85" s="1186"/>
      <c r="G85" s="1186"/>
      <c r="H85" s="1186"/>
      <c r="I85" s="1186"/>
      <c r="J85" s="1186"/>
      <c r="K85" s="1186"/>
    </row>
    <row r="86" spans="1:16">
      <c r="A86" s="2303"/>
      <c r="B86" s="2304"/>
      <c r="C86" s="1187">
        <v>2015</v>
      </c>
      <c r="D86" s="1188">
        <v>0</v>
      </c>
      <c r="E86" s="1188">
        <v>0</v>
      </c>
      <c r="F86" s="1188">
        <v>0</v>
      </c>
      <c r="G86" s="1188">
        <v>0</v>
      </c>
      <c r="H86" s="1188">
        <v>0</v>
      </c>
      <c r="I86" s="1188">
        <v>0</v>
      </c>
      <c r="J86" s="1188">
        <v>0</v>
      </c>
      <c r="K86" s="1188">
        <v>0</v>
      </c>
    </row>
    <row r="87" spans="1:16">
      <c r="A87" s="2303"/>
      <c r="B87" s="2304"/>
      <c r="C87" s="1187">
        <v>2016</v>
      </c>
      <c r="D87" s="1189">
        <v>1</v>
      </c>
      <c r="E87" s="1189">
        <v>0</v>
      </c>
      <c r="F87" s="1189">
        <v>1</v>
      </c>
      <c r="G87" s="1189">
        <v>0</v>
      </c>
      <c r="H87" s="1189">
        <v>0</v>
      </c>
      <c r="I87" s="1189">
        <v>0</v>
      </c>
      <c r="J87" s="1189">
        <v>0</v>
      </c>
      <c r="K87" s="1189">
        <v>0</v>
      </c>
    </row>
    <row r="88" spans="1:16">
      <c r="A88" s="2303"/>
      <c r="B88" s="2304"/>
      <c r="C88" s="1187">
        <v>2017</v>
      </c>
      <c r="D88" s="1189">
        <v>4</v>
      </c>
      <c r="E88" s="1189">
        <v>1</v>
      </c>
      <c r="F88" s="1189">
        <v>2</v>
      </c>
      <c r="G88" s="1189">
        <v>0</v>
      </c>
      <c r="H88" s="1189">
        <v>1</v>
      </c>
      <c r="I88" s="1189">
        <v>0</v>
      </c>
      <c r="J88" s="1189">
        <v>0</v>
      </c>
      <c r="K88" s="1189">
        <v>0</v>
      </c>
    </row>
    <row r="89" spans="1:16">
      <c r="A89" s="2303"/>
      <c r="B89" s="2304"/>
      <c r="C89" s="1187">
        <v>2018</v>
      </c>
      <c r="D89" s="1190"/>
      <c r="E89" s="1190"/>
      <c r="F89" s="1190"/>
      <c r="G89" s="1190"/>
      <c r="H89" s="1190"/>
      <c r="I89" s="1190"/>
      <c r="J89" s="1190"/>
      <c r="K89" s="1190"/>
    </row>
    <row r="90" spans="1:16">
      <c r="A90" s="2303"/>
      <c r="B90" s="2304"/>
      <c r="C90" s="1187">
        <v>2019</v>
      </c>
      <c r="D90" s="1188"/>
      <c r="E90" s="1188"/>
      <c r="F90" s="1188"/>
      <c r="G90" s="1188"/>
      <c r="H90" s="1188"/>
      <c r="I90" s="1188"/>
      <c r="J90" s="1188"/>
      <c r="K90" s="1188"/>
    </row>
    <row r="91" spans="1:16">
      <c r="A91" s="2303"/>
      <c r="B91" s="2304"/>
      <c r="C91" s="1187">
        <v>2020</v>
      </c>
      <c r="D91" s="1188"/>
      <c r="E91" s="1188"/>
      <c r="F91" s="1188"/>
      <c r="G91" s="1188"/>
      <c r="H91" s="1188"/>
      <c r="I91" s="1188"/>
      <c r="J91" s="1188"/>
      <c r="K91" s="1188"/>
    </row>
    <row r="92" spans="1:16" ht="18" customHeight="1">
      <c r="A92" s="2305"/>
      <c r="B92" s="2306"/>
      <c r="C92" s="1191" t="s">
        <v>13</v>
      </c>
      <c r="D92" s="1192">
        <f t="shared" ref="D92:I92" si="7">SUM(D85:D91)</f>
        <v>5</v>
      </c>
      <c r="E92" s="1193">
        <f t="shared" si="7"/>
        <v>1</v>
      </c>
      <c r="F92" s="1193">
        <f t="shared" si="7"/>
        <v>3</v>
      </c>
      <c r="G92" s="1193">
        <f t="shared" si="7"/>
        <v>0</v>
      </c>
      <c r="H92" s="1193">
        <f t="shared" si="7"/>
        <v>1</v>
      </c>
      <c r="I92" s="1193">
        <f t="shared" si="7"/>
        <v>0</v>
      </c>
      <c r="J92" s="1193">
        <f>SUM(J85:J91)</f>
        <v>0</v>
      </c>
      <c r="K92" s="1193">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c r="A95" s="161"/>
      <c r="B95" s="161"/>
    </row>
    <row r="96" spans="1:16" ht="29.25" customHeight="1">
      <c r="A96" s="2274" t="s">
        <v>68</v>
      </c>
      <c r="B96" s="2275" t="s">
        <v>326</v>
      </c>
      <c r="C96" s="2287" t="s">
        <v>9</v>
      </c>
      <c r="D96" s="2288" t="s">
        <v>70</v>
      </c>
      <c r="E96" s="2288"/>
      <c r="F96" s="1194" t="s">
        <v>71</v>
      </c>
      <c r="G96" s="1194"/>
      <c r="H96" s="1194"/>
      <c r="I96" s="1194"/>
      <c r="J96" s="1194"/>
      <c r="K96" s="1194"/>
      <c r="L96" s="1194"/>
      <c r="M96" s="1194"/>
      <c r="N96" s="165"/>
      <c r="O96" s="165"/>
      <c r="P96" s="165"/>
    </row>
    <row r="97" spans="1:16" ht="100.5" customHeight="1">
      <c r="A97" s="2274"/>
      <c r="B97" s="2276"/>
      <c r="C97" s="2287"/>
      <c r="D97" s="1195" t="s">
        <v>72</v>
      </c>
      <c r="E97" s="1195" t="s">
        <v>73</v>
      </c>
      <c r="F97" s="1196" t="s">
        <v>14</v>
      </c>
      <c r="G97" s="1197" t="s">
        <v>74</v>
      </c>
      <c r="H97" s="1195" t="s">
        <v>61</v>
      </c>
      <c r="I97" s="1195" t="s">
        <v>62</v>
      </c>
      <c r="J97" s="1195" t="s">
        <v>63</v>
      </c>
      <c r="K97" s="1196" t="s">
        <v>75</v>
      </c>
      <c r="L97" s="1195" t="s">
        <v>64</v>
      </c>
      <c r="M97" s="1195" t="s">
        <v>65</v>
      </c>
      <c r="N97" s="165"/>
      <c r="O97" s="165"/>
      <c r="P97" s="165"/>
    </row>
    <row r="98" spans="1:16" ht="17.25" customHeight="1">
      <c r="A98" s="1198" t="s">
        <v>327</v>
      </c>
      <c r="B98" s="2289"/>
      <c r="C98" s="1126">
        <v>2014</v>
      </c>
      <c r="D98" s="1126"/>
      <c r="E98" s="1126"/>
      <c r="F98" s="1126"/>
      <c r="G98" s="1126"/>
      <c r="H98" s="1126"/>
      <c r="I98" s="1126"/>
      <c r="J98" s="1126"/>
      <c r="K98" s="1126"/>
      <c r="L98" s="1126"/>
      <c r="M98" s="1126"/>
      <c r="N98" s="165"/>
      <c r="O98" s="165"/>
      <c r="P98" s="165"/>
    </row>
    <row r="99" spans="1:16" ht="16.5" customHeight="1">
      <c r="A99" s="1199" t="s">
        <v>328</v>
      </c>
      <c r="B99" s="2290"/>
      <c r="C99" s="1128">
        <v>2015</v>
      </c>
      <c r="D99" s="1128">
        <v>1</v>
      </c>
      <c r="E99" s="1128">
        <v>2</v>
      </c>
      <c r="F99" s="1128">
        <v>0</v>
      </c>
      <c r="G99" s="1128">
        <v>0</v>
      </c>
      <c r="H99" s="1128">
        <v>0</v>
      </c>
      <c r="I99" s="1128">
        <v>0</v>
      </c>
      <c r="J99" s="1128">
        <v>0</v>
      </c>
      <c r="K99" s="1128">
        <v>0</v>
      </c>
      <c r="L99" s="1128">
        <v>0</v>
      </c>
      <c r="M99" s="1128">
        <v>1</v>
      </c>
      <c r="N99" s="165"/>
      <c r="O99" s="165"/>
      <c r="P99" s="165"/>
    </row>
    <row r="100" spans="1:16" ht="16.5" customHeight="1">
      <c r="A100" s="1200" t="s">
        <v>329</v>
      </c>
      <c r="B100" s="2290"/>
      <c r="C100" s="1128">
        <v>2016</v>
      </c>
      <c r="D100" s="1129">
        <v>1</v>
      </c>
      <c r="E100" s="1128">
        <f>1+6</f>
        <v>7</v>
      </c>
      <c r="F100" s="1128">
        <v>0</v>
      </c>
      <c r="G100" s="1128">
        <v>0</v>
      </c>
      <c r="H100" s="1128">
        <v>0</v>
      </c>
      <c r="I100" s="1128">
        <v>0</v>
      </c>
      <c r="J100" s="1128">
        <v>0</v>
      </c>
      <c r="K100" s="1128">
        <v>0</v>
      </c>
      <c r="L100" s="1128">
        <v>0</v>
      </c>
      <c r="M100" s="1128">
        <v>1</v>
      </c>
      <c r="N100" s="165"/>
      <c r="O100" s="165"/>
      <c r="P100" s="165"/>
    </row>
    <row r="101" spans="1:16" ht="14.25" customHeight="1">
      <c r="A101" s="1199" t="s">
        <v>330</v>
      </c>
      <c r="B101" s="2290"/>
      <c r="C101" s="1128">
        <v>2017</v>
      </c>
      <c r="D101" s="1128">
        <v>1</v>
      </c>
      <c r="E101" s="1128">
        <v>8</v>
      </c>
      <c r="F101" s="1128">
        <v>0</v>
      </c>
      <c r="G101" s="1128">
        <v>0</v>
      </c>
      <c r="H101" s="1128">
        <v>0</v>
      </c>
      <c r="I101" s="1128">
        <v>0</v>
      </c>
      <c r="J101" s="1128">
        <v>0</v>
      </c>
      <c r="K101" s="1128">
        <v>0</v>
      </c>
      <c r="L101" s="1128">
        <v>0</v>
      </c>
      <c r="M101" s="1128">
        <v>1</v>
      </c>
      <c r="N101" s="165"/>
      <c r="O101" s="165"/>
      <c r="P101" s="165"/>
    </row>
    <row r="102" spans="1:16" ht="15.75" customHeight="1">
      <c r="A102" s="1199" t="s">
        <v>331</v>
      </c>
      <c r="B102" s="2290"/>
      <c r="C102" s="1128">
        <v>2018</v>
      </c>
      <c r="D102" s="1128"/>
      <c r="E102" s="1128"/>
      <c r="F102" s="1128"/>
      <c r="G102" s="1128"/>
      <c r="H102" s="1128"/>
      <c r="I102" s="1128"/>
      <c r="J102" s="1128"/>
      <c r="K102" s="1128"/>
      <c r="L102" s="1128"/>
      <c r="M102" s="1128"/>
      <c r="N102" s="165"/>
      <c r="O102" s="165"/>
      <c r="P102" s="165"/>
    </row>
    <row r="103" spans="1:16" ht="14.25" customHeight="1">
      <c r="A103" s="1201"/>
      <c r="B103" s="2290"/>
      <c r="C103" s="1128">
        <v>2019</v>
      </c>
      <c r="D103" s="1128"/>
      <c r="E103" s="1128"/>
      <c r="F103" s="1128"/>
      <c r="G103" s="1128"/>
      <c r="H103" s="1128"/>
      <c r="I103" s="1128"/>
      <c r="J103" s="1128"/>
      <c r="K103" s="1128"/>
      <c r="L103" s="1128"/>
      <c r="M103" s="1128"/>
      <c r="N103" s="165"/>
      <c r="O103" s="165"/>
      <c r="P103" s="165"/>
    </row>
    <row r="104" spans="1:16" ht="14.25" customHeight="1">
      <c r="A104" s="1202"/>
      <c r="B104" s="2290"/>
      <c r="C104" s="1128">
        <v>2020</v>
      </c>
      <c r="D104" s="1128"/>
      <c r="E104" s="1128"/>
      <c r="F104" s="1128"/>
      <c r="G104" s="1128"/>
      <c r="H104" s="1128"/>
      <c r="I104" s="1128"/>
      <c r="J104" s="1128"/>
      <c r="K104" s="1128"/>
      <c r="L104" s="1128"/>
      <c r="M104" s="1128"/>
      <c r="N104" s="165"/>
      <c r="O104" s="165"/>
      <c r="P104" s="165"/>
    </row>
    <row r="105" spans="1:16">
      <c r="A105" s="1201"/>
      <c r="B105" s="2291"/>
      <c r="C105" s="1173" t="s">
        <v>13</v>
      </c>
      <c r="D105" s="1175">
        <f>SUM(D98:D104)</f>
        <v>3</v>
      </c>
      <c r="E105" s="1175">
        <f t="shared" ref="E105:K105" si="8">SUM(E98:E104)</f>
        <v>17</v>
      </c>
      <c r="F105" s="1175">
        <f t="shared" si="8"/>
        <v>0</v>
      </c>
      <c r="G105" s="1175">
        <f t="shared" si="8"/>
        <v>0</v>
      </c>
      <c r="H105" s="1175">
        <f t="shared" si="8"/>
        <v>0</v>
      </c>
      <c r="I105" s="1175">
        <f>SUM(I98:I104)</f>
        <v>0</v>
      </c>
      <c r="J105" s="1175">
        <f t="shared" si="8"/>
        <v>0</v>
      </c>
      <c r="K105" s="1175">
        <f t="shared" si="8"/>
        <v>0</v>
      </c>
      <c r="L105" s="1175">
        <f>SUM(L98:L104)</f>
        <v>0</v>
      </c>
      <c r="M105" s="1175">
        <f>SUM(M98:M104)</f>
        <v>3</v>
      </c>
      <c r="N105" s="165"/>
      <c r="O105" s="165"/>
      <c r="P105" s="165"/>
    </row>
    <row r="106" spans="1:16">
      <c r="A106" s="1203"/>
      <c r="B106" s="183"/>
      <c r="C106" s="184"/>
      <c r="D106" s="7"/>
      <c r="E106" s="7"/>
      <c r="H106" s="185"/>
      <c r="I106" s="185"/>
      <c r="J106" s="185"/>
      <c r="K106" s="185"/>
      <c r="L106" s="185"/>
      <c r="M106" s="185"/>
      <c r="N106" s="185"/>
    </row>
    <row r="107" spans="1:16" ht="15" customHeight="1">
      <c r="A107" s="2274" t="s">
        <v>77</v>
      </c>
      <c r="B107" s="2275" t="s">
        <v>326</v>
      </c>
      <c r="C107" s="2277" t="s">
        <v>9</v>
      </c>
      <c r="D107" s="2288" t="s">
        <v>78</v>
      </c>
      <c r="E107" s="1194" t="s">
        <v>79</v>
      </c>
      <c r="F107" s="1194"/>
      <c r="G107" s="1194"/>
      <c r="H107" s="1194"/>
      <c r="I107" s="1194"/>
      <c r="J107" s="1194"/>
      <c r="K107" s="1194"/>
      <c r="L107" s="1194"/>
      <c r="M107" s="185"/>
      <c r="N107" s="185"/>
    </row>
    <row r="108" spans="1:16" ht="103.5" customHeight="1">
      <c r="A108" s="2274"/>
      <c r="B108" s="2276"/>
      <c r="C108" s="2278"/>
      <c r="D108" s="2288"/>
      <c r="E108" s="1196" t="s">
        <v>14</v>
      </c>
      <c r="F108" s="1197" t="s">
        <v>74</v>
      </c>
      <c r="G108" s="1195" t="s">
        <v>61</v>
      </c>
      <c r="H108" s="1195" t="s">
        <v>62</v>
      </c>
      <c r="I108" s="1195" t="s">
        <v>63</v>
      </c>
      <c r="J108" s="1196" t="s">
        <v>75</v>
      </c>
      <c r="K108" s="1195" t="s">
        <v>64</v>
      </c>
      <c r="L108" s="1195" t="s">
        <v>65</v>
      </c>
      <c r="M108" s="185"/>
      <c r="N108" s="185"/>
    </row>
    <row r="109" spans="1:16">
      <c r="A109" s="2259"/>
      <c r="B109" s="2260"/>
      <c r="C109" s="1126">
        <v>2014</v>
      </c>
      <c r="D109" s="1126"/>
      <c r="E109" s="1126"/>
      <c r="F109" s="1126"/>
      <c r="G109" s="1126"/>
      <c r="H109" s="1126"/>
      <c r="I109" s="1126"/>
      <c r="J109" s="1126"/>
      <c r="K109" s="1126"/>
      <c r="L109" s="1126"/>
      <c r="M109" s="185"/>
      <c r="N109" s="185"/>
    </row>
    <row r="110" spans="1:16">
      <c r="A110" s="2261"/>
      <c r="B110" s="2262"/>
      <c r="C110" s="1128">
        <v>2015</v>
      </c>
      <c r="D110" s="1128">
        <v>0</v>
      </c>
      <c r="E110" s="1128">
        <v>0</v>
      </c>
      <c r="F110" s="1128">
        <v>0</v>
      </c>
      <c r="G110" s="1128">
        <v>0</v>
      </c>
      <c r="H110" s="1128">
        <v>0</v>
      </c>
      <c r="I110" s="1128">
        <v>0</v>
      </c>
      <c r="J110" s="1128">
        <v>0</v>
      </c>
      <c r="K110" s="1128">
        <v>0</v>
      </c>
      <c r="L110" s="1128">
        <v>0</v>
      </c>
      <c r="M110" s="185"/>
      <c r="N110" s="185"/>
    </row>
    <row r="111" spans="1:16">
      <c r="A111" s="2261"/>
      <c r="B111" s="2262"/>
      <c r="C111" s="1128">
        <v>2016</v>
      </c>
      <c r="D111" s="1128">
        <v>0</v>
      </c>
      <c r="E111" s="1128">
        <v>0</v>
      </c>
      <c r="F111" s="1128">
        <v>0</v>
      </c>
      <c r="G111" s="1128">
        <v>0</v>
      </c>
      <c r="H111" s="1128">
        <v>0</v>
      </c>
      <c r="I111" s="1128">
        <v>0</v>
      </c>
      <c r="J111" s="1128">
        <v>0</v>
      </c>
      <c r="K111" s="1128">
        <v>0</v>
      </c>
      <c r="L111" s="1128">
        <v>0</v>
      </c>
      <c r="M111" s="185"/>
      <c r="N111" s="185"/>
    </row>
    <row r="112" spans="1:16">
      <c r="A112" s="2261"/>
      <c r="B112" s="2262"/>
      <c r="C112" s="1128">
        <v>2017</v>
      </c>
      <c r="D112" s="1128">
        <v>0</v>
      </c>
      <c r="E112" s="1128">
        <v>0</v>
      </c>
      <c r="F112" s="1128">
        <v>0</v>
      </c>
      <c r="G112" s="1128">
        <v>0</v>
      </c>
      <c r="H112" s="1128">
        <v>0</v>
      </c>
      <c r="I112" s="1128">
        <v>0</v>
      </c>
      <c r="J112" s="1128">
        <v>0</v>
      </c>
      <c r="K112" s="1128">
        <v>0</v>
      </c>
      <c r="L112" s="1128">
        <v>0</v>
      </c>
      <c r="M112" s="185"/>
      <c r="N112" s="185"/>
    </row>
    <row r="113" spans="1:14">
      <c r="A113" s="2261"/>
      <c r="B113" s="2262"/>
      <c r="C113" s="1128">
        <v>2018</v>
      </c>
      <c r="D113" s="1128"/>
      <c r="E113" s="1128"/>
      <c r="F113" s="1128"/>
      <c r="G113" s="1128"/>
      <c r="H113" s="1128"/>
      <c r="I113" s="1128"/>
      <c r="J113" s="1128"/>
      <c r="K113" s="1128"/>
      <c r="L113" s="1128"/>
      <c r="M113" s="185"/>
      <c r="N113" s="185"/>
    </row>
    <row r="114" spans="1:14">
      <c r="A114" s="2261"/>
      <c r="B114" s="2262"/>
      <c r="C114" s="1128">
        <v>2019</v>
      </c>
      <c r="D114" s="1128"/>
      <c r="E114" s="1128"/>
      <c r="F114" s="1128"/>
      <c r="G114" s="1128"/>
      <c r="H114" s="1128"/>
      <c r="I114" s="1128"/>
      <c r="J114" s="1128"/>
      <c r="K114" s="1128"/>
      <c r="L114" s="1128"/>
      <c r="M114" s="185"/>
      <c r="N114" s="185"/>
    </row>
    <row r="115" spans="1:14">
      <c r="A115" s="2261"/>
      <c r="B115" s="2262"/>
      <c r="C115" s="1128">
        <v>2020</v>
      </c>
      <c r="D115" s="1128"/>
      <c r="E115" s="1128"/>
      <c r="F115" s="1128"/>
      <c r="G115" s="1128"/>
      <c r="H115" s="1128"/>
      <c r="I115" s="1128"/>
      <c r="J115" s="1128"/>
      <c r="K115" s="1128"/>
      <c r="L115" s="1128"/>
      <c r="M115" s="185"/>
      <c r="N115" s="185"/>
    </row>
    <row r="116" spans="1:14" ht="18" customHeight="1">
      <c r="A116" s="2286"/>
      <c r="B116" s="2264"/>
      <c r="C116" s="1173" t="s">
        <v>13</v>
      </c>
      <c r="D116" s="1175">
        <f t="shared" ref="D116:I116" si="9">SUM(D109:D115)</f>
        <v>0</v>
      </c>
      <c r="E116" s="1175">
        <f t="shared" si="9"/>
        <v>0</v>
      </c>
      <c r="F116" s="1175">
        <f t="shared" si="9"/>
        <v>0</v>
      </c>
      <c r="G116" s="1175">
        <f t="shared" si="9"/>
        <v>0</v>
      </c>
      <c r="H116" s="1175">
        <f t="shared" si="9"/>
        <v>0</v>
      </c>
      <c r="I116" s="1175">
        <f t="shared" si="9"/>
        <v>0</v>
      </c>
      <c r="J116" s="1175"/>
      <c r="K116" s="1175">
        <f>SUM(K109:K115)</f>
        <v>0</v>
      </c>
      <c r="L116" s="1175">
        <f>SUM(L109:L115)</f>
        <v>0</v>
      </c>
      <c r="M116" s="185"/>
      <c r="N116" s="185"/>
    </row>
    <row r="117" spans="1:14" ht="21">
      <c r="A117" s="186"/>
      <c r="B117" s="187"/>
      <c r="C117" s="65"/>
      <c r="D117" s="65"/>
      <c r="E117" s="65"/>
      <c r="F117" s="65"/>
      <c r="G117" s="65"/>
      <c r="H117" s="65"/>
      <c r="I117" s="65"/>
      <c r="J117" s="65"/>
      <c r="K117" s="65"/>
      <c r="L117" s="65"/>
      <c r="M117" s="185"/>
      <c r="N117" s="185"/>
    </row>
    <row r="118" spans="1:14" ht="15" customHeight="1">
      <c r="A118" s="2274" t="s">
        <v>81</v>
      </c>
      <c r="B118" s="2275" t="s">
        <v>326</v>
      </c>
      <c r="C118" s="2287" t="s">
        <v>9</v>
      </c>
      <c r="D118" s="2288" t="s">
        <v>82</v>
      </c>
      <c r="E118" s="1194" t="s">
        <v>79</v>
      </c>
      <c r="F118" s="1194"/>
      <c r="G118" s="1194"/>
      <c r="H118" s="1194"/>
      <c r="I118" s="1194"/>
      <c r="J118" s="1194"/>
      <c r="K118" s="1194"/>
      <c r="L118" s="1194"/>
      <c r="M118" s="185"/>
      <c r="N118" s="185"/>
    </row>
    <row r="119" spans="1:14" ht="120.75" customHeight="1">
      <c r="A119" s="2274"/>
      <c r="B119" s="2276"/>
      <c r="C119" s="2287"/>
      <c r="D119" s="2288"/>
      <c r="E119" s="1196" t="s">
        <v>14</v>
      </c>
      <c r="F119" s="1197" t="s">
        <v>74</v>
      </c>
      <c r="G119" s="1195" t="s">
        <v>61</v>
      </c>
      <c r="H119" s="1195" t="s">
        <v>62</v>
      </c>
      <c r="I119" s="1195" t="s">
        <v>63</v>
      </c>
      <c r="J119" s="1196" t="s">
        <v>75</v>
      </c>
      <c r="K119" s="1195" t="s">
        <v>64</v>
      </c>
      <c r="L119" s="1195" t="s">
        <v>65</v>
      </c>
      <c r="M119" s="185"/>
      <c r="N119" s="185"/>
    </row>
    <row r="120" spans="1:14">
      <c r="A120" s="2259"/>
      <c r="B120" s="2260"/>
      <c r="C120" s="1126">
        <v>2014</v>
      </c>
      <c r="D120" s="1126"/>
      <c r="E120" s="1126"/>
      <c r="F120" s="1126"/>
      <c r="G120" s="1126"/>
      <c r="H120" s="1126"/>
      <c r="I120" s="1126"/>
      <c r="J120" s="1126"/>
      <c r="K120" s="1126"/>
      <c r="L120" s="1126"/>
      <c r="M120" s="185"/>
      <c r="N120" s="185"/>
    </row>
    <row r="121" spans="1:14">
      <c r="A121" s="2261"/>
      <c r="B121" s="2262"/>
      <c r="C121" s="1128">
        <v>2015</v>
      </c>
      <c r="D121" s="1128">
        <v>0</v>
      </c>
      <c r="E121" s="1128">
        <v>0</v>
      </c>
      <c r="F121" s="1128">
        <v>0</v>
      </c>
      <c r="G121" s="1128">
        <v>0</v>
      </c>
      <c r="H121" s="1128">
        <v>0</v>
      </c>
      <c r="I121" s="1128">
        <v>0</v>
      </c>
      <c r="J121" s="1128">
        <v>0</v>
      </c>
      <c r="K121" s="1128">
        <v>0</v>
      </c>
      <c r="L121" s="1128">
        <v>0</v>
      </c>
      <c r="M121" s="185"/>
      <c r="N121" s="185"/>
    </row>
    <row r="122" spans="1:14">
      <c r="A122" s="2261"/>
      <c r="B122" s="2262"/>
      <c r="C122" s="1128">
        <v>2016</v>
      </c>
      <c r="D122" s="1128">
        <v>0</v>
      </c>
      <c r="E122" s="1128">
        <v>0</v>
      </c>
      <c r="F122" s="1128">
        <v>0</v>
      </c>
      <c r="G122" s="1128">
        <v>0</v>
      </c>
      <c r="H122" s="1128">
        <v>0</v>
      </c>
      <c r="I122" s="1128">
        <v>0</v>
      </c>
      <c r="J122" s="1128">
        <v>0</v>
      </c>
      <c r="K122" s="1128">
        <v>0</v>
      </c>
      <c r="L122" s="1128">
        <v>0</v>
      </c>
      <c r="M122" s="185"/>
      <c r="N122" s="185"/>
    </row>
    <row r="123" spans="1:14">
      <c r="A123" s="2261"/>
      <c r="B123" s="2262"/>
      <c r="C123" s="1128">
        <v>2017</v>
      </c>
      <c r="D123" s="1128">
        <v>0</v>
      </c>
      <c r="E123" s="1128">
        <v>0</v>
      </c>
      <c r="F123" s="1128">
        <v>0</v>
      </c>
      <c r="G123" s="1128">
        <v>0</v>
      </c>
      <c r="H123" s="1128">
        <v>0</v>
      </c>
      <c r="I123" s="1128">
        <v>0</v>
      </c>
      <c r="J123" s="1128">
        <v>0</v>
      </c>
      <c r="K123" s="1128">
        <v>0</v>
      </c>
      <c r="L123" s="1128">
        <v>0</v>
      </c>
      <c r="M123" s="185"/>
      <c r="N123" s="185"/>
    </row>
    <row r="124" spans="1:14">
      <c r="A124" s="2261"/>
      <c r="B124" s="2262"/>
      <c r="C124" s="1128">
        <v>2018</v>
      </c>
      <c r="D124" s="1128"/>
      <c r="E124" s="1128"/>
      <c r="F124" s="1128"/>
      <c r="G124" s="1128"/>
      <c r="H124" s="1128"/>
      <c r="I124" s="1128"/>
      <c r="J124" s="1128"/>
      <c r="K124" s="1128"/>
      <c r="L124" s="1128"/>
      <c r="M124" s="185"/>
      <c r="N124" s="185"/>
    </row>
    <row r="125" spans="1:14">
      <c r="A125" s="2261"/>
      <c r="B125" s="2262"/>
      <c r="C125" s="1128">
        <v>2019</v>
      </c>
      <c r="D125" s="1128"/>
      <c r="E125" s="1128"/>
      <c r="F125" s="1128"/>
      <c r="G125" s="1128"/>
      <c r="H125" s="1128"/>
      <c r="I125" s="1128"/>
      <c r="J125" s="1128"/>
      <c r="K125" s="1128"/>
      <c r="L125" s="1128"/>
      <c r="M125" s="185"/>
      <c r="N125" s="185"/>
    </row>
    <row r="126" spans="1:14">
      <c r="A126" s="2261"/>
      <c r="B126" s="2262"/>
      <c r="C126" s="1128">
        <v>2020</v>
      </c>
      <c r="D126" s="1128"/>
      <c r="E126" s="1128"/>
      <c r="F126" s="1128"/>
      <c r="G126" s="1128"/>
      <c r="H126" s="1128"/>
      <c r="I126" s="1128"/>
      <c r="J126" s="1128"/>
      <c r="K126" s="1128"/>
      <c r="L126" s="1128"/>
      <c r="M126" s="185"/>
      <c r="N126" s="185"/>
    </row>
    <row r="127" spans="1:14">
      <c r="A127" s="2286"/>
      <c r="B127" s="2264"/>
      <c r="C127" s="1173" t="s">
        <v>13</v>
      </c>
      <c r="D127" s="1175">
        <f t="shared" ref="D127:I127" si="10">SUM(D120:D126)</f>
        <v>0</v>
      </c>
      <c r="E127" s="1175">
        <f t="shared" si="10"/>
        <v>0</v>
      </c>
      <c r="F127" s="1175">
        <f t="shared" si="10"/>
        <v>0</v>
      </c>
      <c r="G127" s="1175">
        <f t="shared" si="10"/>
        <v>0</v>
      </c>
      <c r="H127" s="1175">
        <f t="shared" si="10"/>
        <v>0</v>
      </c>
      <c r="I127" s="1175">
        <f t="shared" si="10"/>
        <v>0</v>
      </c>
      <c r="J127" s="1175"/>
      <c r="K127" s="1175">
        <f>SUM(K120:K126)</f>
        <v>0</v>
      </c>
      <c r="L127" s="1175">
        <f>SUM(L120:L126)</f>
        <v>0</v>
      </c>
      <c r="M127" s="185"/>
      <c r="N127" s="185"/>
    </row>
    <row r="128" spans="1:14">
      <c r="A128" s="183"/>
      <c r="B128" s="183"/>
      <c r="C128" s="184"/>
      <c r="D128" s="7"/>
      <c r="E128" s="7"/>
      <c r="H128" s="185"/>
      <c r="I128" s="185"/>
      <c r="J128" s="185"/>
      <c r="K128" s="185"/>
      <c r="L128" s="185"/>
      <c r="M128" s="185"/>
      <c r="N128" s="185"/>
    </row>
    <row r="129" spans="1:16" ht="15" customHeight="1">
      <c r="A129" s="2274" t="s">
        <v>84</v>
      </c>
      <c r="B129" s="2275" t="s">
        <v>326</v>
      </c>
      <c r="C129" s="2277" t="s">
        <v>9</v>
      </c>
      <c r="D129" s="1204" t="s">
        <v>85</v>
      </c>
      <c r="E129" s="1204"/>
      <c r="F129" s="1204"/>
      <c r="G129" s="1204"/>
      <c r="H129" s="185"/>
      <c r="I129" s="185"/>
      <c r="J129" s="185"/>
      <c r="K129" s="185"/>
      <c r="L129" s="185"/>
      <c r="M129" s="185"/>
      <c r="N129" s="185"/>
    </row>
    <row r="130" spans="1:16" ht="77.25" customHeight="1">
      <c r="A130" s="2274"/>
      <c r="B130" s="2276"/>
      <c r="C130" s="2278"/>
      <c r="D130" s="1195" t="s">
        <v>86</v>
      </c>
      <c r="E130" s="1205" t="s">
        <v>87</v>
      </c>
      <c r="F130" s="1195" t="s">
        <v>88</v>
      </c>
      <c r="G130" s="1206" t="s">
        <v>13</v>
      </c>
      <c r="H130" s="185"/>
      <c r="I130" s="185"/>
      <c r="J130" s="185"/>
      <c r="K130" s="185"/>
      <c r="L130" s="185"/>
      <c r="M130" s="185"/>
      <c r="N130" s="185"/>
    </row>
    <row r="131" spans="1:16" ht="15" customHeight="1">
      <c r="A131" s="2279" t="s">
        <v>332</v>
      </c>
      <c r="B131" s="2280"/>
      <c r="C131" s="1129">
        <v>2015</v>
      </c>
      <c r="D131" s="1135">
        <v>18</v>
      </c>
      <c r="E131" s="1129">
        <v>0</v>
      </c>
      <c r="F131" s="1129">
        <v>0</v>
      </c>
      <c r="G131" s="1175">
        <f t="shared" ref="G131:G136" si="11">SUM(D131:F131)</f>
        <v>18</v>
      </c>
      <c r="H131" s="185"/>
      <c r="I131" s="185"/>
      <c r="J131" s="185"/>
      <c r="K131" s="185"/>
      <c r="L131" s="185"/>
      <c r="M131" s="185"/>
      <c r="N131" s="185"/>
    </row>
    <row r="132" spans="1:16" ht="29.25" customHeight="1">
      <c r="A132" s="2281"/>
      <c r="B132" s="2282"/>
      <c r="C132" s="1128">
        <v>2016</v>
      </c>
      <c r="D132" s="1135">
        <v>60</v>
      </c>
      <c r="E132" s="1128">
        <v>0</v>
      </c>
      <c r="F132" s="1128">
        <v>0</v>
      </c>
      <c r="G132" s="1175">
        <f t="shared" si="11"/>
        <v>60</v>
      </c>
      <c r="H132" s="185"/>
      <c r="I132" s="185"/>
      <c r="J132" s="185"/>
      <c r="K132" s="185"/>
      <c r="L132" s="185"/>
      <c r="M132" s="185"/>
      <c r="N132" s="185"/>
    </row>
    <row r="133" spans="1:16">
      <c r="A133" s="2281"/>
      <c r="B133" s="2282"/>
      <c r="C133" s="1128">
        <v>2017</v>
      </c>
      <c r="D133" s="1128">
        <v>77</v>
      </c>
      <c r="E133" s="1128">
        <v>0</v>
      </c>
      <c r="F133" s="1128">
        <v>0</v>
      </c>
      <c r="G133" s="1175">
        <f t="shared" si="11"/>
        <v>77</v>
      </c>
      <c r="H133" s="185"/>
      <c r="I133" s="185"/>
      <c r="J133" s="185"/>
      <c r="K133" s="185"/>
      <c r="L133" s="185"/>
      <c r="M133" s="185"/>
      <c r="N133" s="185"/>
    </row>
    <row r="134" spans="1:16">
      <c r="A134" s="2281"/>
      <c r="B134" s="2282"/>
      <c r="C134" s="1128">
        <v>2018</v>
      </c>
      <c r="D134" s="1128"/>
      <c r="E134" s="1128"/>
      <c r="F134" s="1128"/>
      <c r="G134" s="1175">
        <f t="shared" si="11"/>
        <v>0</v>
      </c>
      <c r="H134" s="185"/>
      <c r="I134" s="185"/>
      <c r="J134" s="185"/>
      <c r="K134" s="185"/>
      <c r="L134" s="185"/>
      <c r="M134" s="185"/>
      <c r="N134" s="185"/>
    </row>
    <row r="135" spans="1:16">
      <c r="A135" s="2281"/>
      <c r="B135" s="2282"/>
      <c r="C135" s="1128">
        <v>2019</v>
      </c>
      <c r="D135" s="1128"/>
      <c r="E135" s="1128"/>
      <c r="F135" s="1128"/>
      <c r="G135" s="1175">
        <f t="shared" si="11"/>
        <v>0</v>
      </c>
      <c r="H135" s="185"/>
      <c r="I135" s="185"/>
      <c r="J135" s="185"/>
      <c r="K135" s="185"/>
      <c r="L135" s="185"/>
      <c r="M135" s="185"/>
      <c r="N135" s="185"/>
    </row>
    <row r="136" spans="1:16">
      <c r="A136" s="2281"/>
      <c r="B136" s="2282"/>
      <c r="C136" s="1128">
        <v>2020</v>
      </c>
      <c r="D136" s="1128"/>
      <c r="E136" s="1128"/>
      <c r="F136" s="1128"/>
      <c r="G136" s="1175">
        <f t="shared" si="11"/>
        <v>0</v>
      </c>
      <c r="H136" s="185"/>
      <c r="I136" s="185"/>
      <c r="J136" s="185"/>
      <c r="K136" s="185"/>
      <c r="L136" s="185"/>
      <c r="M136" s="185"/>
      <c r="N136" s="185"/>
    </row>
    <row r="137" spans="1:16" ht="17.25" customHeight="1">
      <c r="A137" s="2283"/>
      <c r="B137" s="2284"/>
      <c r="C137" s="1173" t="s">
        <v>13</v>
      </c>
      <c r="D137" s="1175">
        <f>SUM(D131:D136)</f>
        <v>155</v>
      </c>
      <c r="E137" s="1175">
        <f t="shared" ref="E137:F137" si="12">SUM(E131:E136)</f>
        <v>0</v>
      </c>
      <c r="F137" s="1175">
        <f t="shared" si="12"/>
        <v>0</v>
      </c>
      <c r="G137" s="1207">
        <f>SUM(G131:G136)</f>
        <v>155</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c r="A141" s="202"/>
      <c r="B141" s="119"/>
      <c r="C141" s="141"/>
      <c r="D141" s="78"/>
      <c r="E141" s="78"/>
      <c r="F141" s="78"/>
      <c r="G141" s="78"/>
      <c r="H141" s="78"/>
      <c r="I141" s="165"/>
      <c r="J141" s="165"/>
      <c r="K141" s="165"/>
      <c r="L141" s="165"/>
      <c r="M141" s="165"/>
      <c r="N141" s="165"/>
      <c r="O141" s="165"/>
      <c r="P141" s="165"/>
    </row>
    <row r="142" spans="1:16" ht="21.75" customHeight="1">
      <c r="A142" s="2265" t="s">
        <v>91</v>
      </c>
      <c r="B142" s="2266" t="s">
        <v>326</v>
      </c>
      <c r="C142" s="2285" t="s">
        <v>9</v>
      </c>
      <c r="D142" s="1208" t="s">
        <v>92</v>
      </c>
      <c r="E142" s="1208"/>
      <c r="F142" s="1208"/>
      <c r="G142" s="1208"/>
      <c r="H142" s="1208"/>
      <c r="I142" s="1208"/>
      <c r="J142" s="2258" t="s">
        <v>93</v>
      </c>
      <c r="K142" s="2258"/>
      <c r="L142" s="2258"/>
      <c r="M142" s="2258"/>
      <c r="N142" s="2258"/>
      <c r="O142" s="165"/>
      <c r="P142" s="165"/>
    </row>
    <row r="143" spans="1:16" ht="148.5" customHeight="1">
      <c r="A143" s="2265"/>
      <c r="B143" s="2266"/>
      <c r="C143" s="2285"/>
      <c r="D143" s="1209" t="s">
        <v>94</v>
      </c>
      <c r="E143" s="1210" t="s">
        <v>95</v>
      </c>
      <c r="F143" s="1209" t="s">
        <v>96</v>
      </c>
      <c r="G143" s="1209" t="s">
        <v>97</v>
      </c>
      <c r="H143" s="1209" t="s">
        <v>98</v>
      </c>
      <c r="I143" s="1209" t="s">
        <v>99</v>
      </c>
      <c r="J143" s="1211" t="s">
        <v>100</v>
      </c>
      <c r="K143" s="1212" t="s">
        <v>101</v>
      </c>
      <c r="L143" s="1211" t="s">
        <v>102</v>
      </c>
      <c r="M143" s="1212" t="s">
        <v>101</v>
      </c>
      <c r="N143" s="1211" t="s">
        <v>103</v>
      </c>
      <c r="O143" s="165"/>
      <c r="P143" s="165"/>
    </row>
    <row r="144" spans="1:16" ht="19.5" customHeight="1">
      <c r="A144" s="2259"/>
      <c r="B144" s="2260"/>
      <c r="C144" s="1126">
        <v>2014</v>
      </c>
      <c r="D144" s="1126"/>
      <c r="E144" s="1126"/>
      <c r="F144" s="1126"/>
      <c r="G144" s="1126"/>
      <c r="H144" s="1126"/>
      <c r="I144" s="1175">
        <f>D144+F144+G144+H144</f>
        <v>0</v>
      </c>
      <c r="J144" s="1126"/>
      <c r="K144" s="1126"/>
      <c r="L144" s="1126"/>
      <c r="M144" s="1126"/>
      <c r="N144" s="1126"/>
      <c r="O144" s="165"/>
      <c r="P144" s="165"/>
    </row>
    <row r="145" spans="1:16" ht="19.5" customHeight="1">
      <c r="A145" s="2261"/>
      <c r="B145" s="2262"/>
      <c r="C145" s="1128">
        <v>2015</v>
      </c>
      <c r="D145" s="1128">
        <v>0</v>
      </c>
      <c r="E145" s="1128">
        <v>0</v>
      </c>
      <c r="F145" s="1128">
        <v>0</v>
      </c>
      <c r="G145" s="1128">
        <v>0</v>
      </c>
      <c r="H145" s="1128">
        <v>0</v>
      </c>
      <c r="I145" s="1175">
        <v>0</v>
      </c>
      <c r="J145" s="1128">
        <v>0</v>
      </c>
      <c r="K145" s="1128">
        <v>0</v>
      </c>
      <c r="L145" s="1128">
        <v>0</v>
      </c>
      <c r="M145" s="1128">
        <v>0</v>
      </c>
      <c r="N145" s="1128">
        <v>0</v>
      </c>
      <c r="O145" s="165"/>
      <c r="P145" s="165"/>
    </row>
    <row r="146" spans="1:16" ht="20.25" customHeight="1">
      <c r="A146" s="2261"/>
      <c r="B146" s="2262"/>
      <c r="C146" s="1128">
        <v>2016</v>
      </c>
      <c r="D146" s="1128">
        <v>0</v>
      </c>
      <c r="E146" s="1128">
        <v>0</v>
      </c>
      <c r="F146" s="1128">
        <v>0</v>
      </c>
      <c r="G146" s="1128">
        <v>0</v>
      </c>
      <c r="H146" s="1128">
        <v>0</v>
      </c>
      <c r="I146" s="1175">
        <v>0</v>
      </c>
      <c r="J146" s="1128">
        <v>0</v>
      </c>
      <c r="K146" s="1128">
        <v>0</v>
      </c>
      <c r="L146" s="1128">
        <v>0</v>
      </c>
      <c r="M146" s="1128">
        <v>0</v>
      </c>
      <c r="N146" s="1128">
        <v>0</v>
      </c>
      <c r="O146" s="165"/>
      <c r="P146" s="165"/>
    </row>
    <row r="147" spans="1:16" ht="17.25" customHeight="1">
      <c r="A147" s="2261"/>
      <c r="B147" s="2262"/>
      <c r="C147" s="1128">
        <v>2017</v>
      </c>
      <c r="D147" s="1128">
        <v>0</v>
      </c>
      <c r="E147" s="1128">
        <v>0</v>
      </c>
      <c r="F147" s="1128">
        <v>0</v>
      </c>
      <c r="G147" s="1128">
        <v>0</v>
      </c>
      <c r="H147" s="1128">
        <v>0</v>
      </c>
      <c r="I147" s="1175">
        <v>0</v>
      </c>
      <c r="J147" s="1128">
        <v>0</v>
      </c>
      <c r="K147" s="1128">
        <v>0</v>
      </c>
      <c r="L147" s="1128">
        <v>0</v>
      </c>
      <c r="M147" s="1128">
        <v>0</v>
      </c>
      <c r="N147" s="1128">
        <v>0</v>
      </c>
      <c r="O147" s="165"/>
      <c r="P147" s="165"/>
    </row>
    <row r="148" spans="1:16" ht="19.5" customHeight="1">
      <c r="A148" s="2261"/>
      <c r="B148" s="2262"/>
      <c r="C148" s="1128">
        <v>2018</v>
      </c>
      <c r="D148" s="1128"/>
      <c r="E148" s="1128"/>
      <c r="F148" s="1128"/>
      <c r="G148" s="1128"/>
      <c r="H148" s="1128"/>
      <c r="I148" s="1175">
        <f t="shared" ref="I148:I150" si="13">D148+F148+G148+H148</f>
        <v>0</v>
      </c>
      <c r="J148" s="1128"/>
      <c r="K148" s="1128"/>
      <c r="L148" s="1128"/>
      <c r="M148" s="1128"/>
      <c r="N148" s="1128"/>
      <c r="O148" s="165"/>
      <c r="P148" s="165"/>
    </row>
    <row r="149" spans="1:16" ht="19.5" customHeight="1">
      <c r="A149" s="2261"/>
      <c r="B149" s="2262"/>
      <c r="C149" s="1128">
        <v>2019</v>
      </c>
      <c r="D149" s="1128"/>
      <c r="E149" s="1128"/>
      <c r="F149" s="1128"/>
      <c r="G149" s="1128"/>
      <c r="H149" s="1128"/>
      <c r="I149" s="1175">
        <f t="shared" si="13"/>
        <v>0</v>
      </c>
      <c r="J149" s="1128"/>
      <c r="K149" s="1128"/>
      <c r="L149" s="1128"/>
      <c r="M149" s="1128"/>
      <c r="N149" s="1128"/>
      <c r="O149" s="165"/>
      <c r="P149" s="165"/>
    </row>
    <row r="150" spans="1:16" ht="18.75" customHeight="1">
      <c r="A150" s="2261"/>
      <c r="B150" s="2262"/>
      <c r="C150" s="1128">
        <v>2020</v>
      </c>
      <c r="D150" s="1128"/>
      <c r="E150" s="1128"/>
      <c r="F150" s="1128"/>
      <c r="G150" s="1128"/>
      <c r="H150" s="1128"/>
      <c r="I150" s="1175">
        <f t="shared" si="13"/>
        <v>0</v>
      </c>
      <c r="J150" s="1128"/>
      <c r="K150" s="1128"/>
      <c r="L150" s="1128"/>
      <c r="M150" s="1128"/>
      <c r="N150" s="1128"/>
      <c r="O150" s="165"/>
      <c r="P150" s="165"/>
    </row>
    <row r="151" spans="1:16" ht="18" customHeight="1">
      <c r="A151" s="2263"/>
      <c r="B151" s="2264"/>
      <c r="C151" s="1173" t="s">
        <v>13</v>
      </c>
      <c r="D151" s="1175">
        <f>SUM(D144:D150)</f>
        <v>0</v>
      </c>
      <c r="E151" s="1175">
        <f t="shared" ref="E151:I151" si="14">SUM(E144:E150)</f>
        <v>0</v>
      </c>
      <c r="F151" s="1175">
        <f t="shared" si="14"/>
        <v>0</v>
      </c>
      <c r="G151" s="1175">
        <f t="shared" si="14"/>
        <v>0</v>
      </c>
      <c r="H151" s="1175">
        <f t="shared" si="14"/>
        <v>0</v>
      </c>
      <c r="I151" s="1175">
        <f t="shared" si="14"/>
        <v>0</v>
      </c>
      <c r="J151" s="1175">
        <f>SUM(J144:J150)</f>
        <v>0</v>
      </c>
      <c r="K151" s="1175">
        <f>SUM(K144:K150)</f>
        <v>0</v>
      </c>
      <c r="L151" s="1175">
        <f>SUM(L144:L150)</f>
        <v>0</v>
      </c>
      <c r="M151" s="1175">
        <f>SUM(M144:M150)</f>
        <v>0</v>
      </c>
      <c r="N151" s="1175">
        <f>SUM(N144:N150)</f>
        <v>0</v>
      </c>
      <c r="O151" s="165"/>
      <c r="P151" s="165"/>
    </row>
    <row r="152" spans="1:16" ht="27" customHeight="1">
      <c r="B152" s="224"/>
      <c r="O152" s="165"/>
      <c r="P152" s="165"/>
    </row>
    <row r="153" spans="1:16" ht="42.75" customHeight="1">
      <c r="A153" s="2265" t="s">
        <v>105</v>
      </c>
      <c r="B153" s="2266" t="s">
        <v>326</v>
      </c>
      <c r="C153" s="2258" t="s">
        <v>9</v>
      </c>
      <c r="D153" s="1208" t="s">
        <v>106</v>
      </c>
      <c r="E153" s="1208"/>
      <c r="F153" s="1208"/>
      <c r="G153" s="1208"/>
      <c r="H153" s="1208" t="s">
        <v>107</v>
      </c>
      <c r="I153" s="1208"/>
      <c r="J153" s="1208"/>
      <c r="K153" s="56"/>
      <c r="L153" s="56"/>
      <c r="M153" s="56"/>
      <c r="N153" s="56"/>
      <c r="O153" s="165"/>
      <c r="P153" s="165"/>
    </row>
    <row r="154" spans="1:16" ht="49.5" customHeight="1">
      <c r="A154" s="2265"/>
      <c r="B154" s="2266"/>
      <c r="C154" s="2258"/>
      <c r="D154" s="1211" t="s">
        <v>108</v>
      </c>
      <c r="E154" s="1211" t="s">
        <v>109</v>
      </c>
      <c r="F154" s="1211" t="s">
        <v>110</v>
      </c>
      <c r="G154" s="1209" t="s">
        <v>111</v>
      </c>
      <c r="H154" s="1211" t="s">
        <v>112</v>
      </c>
      <c r="I154" s="1211" t="s">
        <v>113</v>
      </c>
      <c r="J154" s="1211" t="s">
        <v>103</v>
      </c>
      <c r="K154" s="56"/>
      <c r="L154" s="56"/>
      <c r="M154" s="56"/>
      <c r="N154" s="56"/>
      <c r="O154" s="165"/>
      <c r="P154" s="165"/>
    </row>
    <row r="155" spans="1:16" ht="18.75" customHeight="1">
      <c r="A155" s="2259"/>
      <c r="B155" s="2260"/>
      <c r="C155" s="1126">
        <v>2014</v>
      </c>
      <c r="D155" s="1126"/>
      <c r="E155" s="1126"/>
      <c r="F155" s="1126"/>
      <c r="G155" s="1175">
        <f>SUM(D155:F155)</f>
        <v>0</v>
      </c>
      <c r="H155" s="1126"/>
      <c r="I155" s="1126"/>
      <c r="J155" s="1126"/>
      <c r="O155" s="165"/>
      <c r="P155" s="165"/>
    </row>
    <row r="156" spans="1:16" ht="19.5" customHeight="1">
      <c r="A156" s="2261"/>
      <c r="B156" s="2262"/>
      <c r="C156" s="1128">
        <v>2015</v>
      </c>
      <c r="D156" s="1128">
        <v>0</v>
      </c>
      <c r="E156" s="1128">
        <v>0</v>
      </c>
      <c r="F156" s="1128">
        <v>0</v>
      </c>
      <c r="G156" s="1175">
        <v>0</v>
      </c>
      <c r="H156" s="1128">
        <v>0</v>
      </c>
      <c r="I156" s="1128">
        <v>0</v>
      </c>
      <c r="J156" s="1128">
        <v>0</v>
      </c>
      <c r="O156" s="165"/>
      <c r="P156" s="165"/>
    </row>
    <row r="157" spans="1:16" ht="17.25" customHeight="1">
      <c r="A157" s="2261"/>
      <c r="B157" s="2262"/>
      <c r="C157" s="1128">
        <v>2016</v>
      </c>
      <c r="D157" s="1128">
        <v>0</v>
      </c>
      <c r="E157" s="1128">
        <v>0</v>
      </c>
      <c r="F157" s="1128">
        <v>0</v>
      </c>
      <c r="G157" s="1175">
        <f t="shared" ref="G157:G161" si="15">SUM(D157:F157)</f>
        <v>0</v>
      </c>
      <c r="H157" s="1128">
        <v>0</v>
      </c>
      <c r="I157" s="1128">
        <v>0</v>
      </c>
      <c r="J157" s="1128">
        <v>0</v>
      </c>
      <c r="O157" s="165"/>
      <c r="P157" s="165"/>
    </row>
    <row r="158" spans="1:16" ht="15" customHeight="1">
      <c r="A158" s="2261"/>
      <c r="B158" s="2262"/>
      <c r="C158" s="1128">
        <v>2017</v>
      </c>
      <c r="D158" s="1128">
        <v>0</v>
      </c>
      <c r="E158" s="1128">
        <v>0</v>
      </c>
      <c r="F158" s="1128">
        <v>0</v>
      </c>
      <c r="G158" s="1175">
        <v>0</v>
      </c>
      <c r="H158" s="1128">
        <v>0</v>
      </c>
      <c r="I158" s="1128">
        <v>0</v>
      </c>
      <c r="J158" s="1128">
        <v>0</v>
      </c>
      <c r="O158" s="165"/>
      <c r="P158" s="165"/>
    </row>
    <row r="159" spans="1:16" ht="19.5" customHeight="1">
      <c r="A159" s="2261"/>
      <c r="B159" s="2262"/>
      <c r="C159" s="1128">
        <v>2018</v>
      </c>
      <c r="D159" s="1128"/>
      <c r="E159" s="1128"/>
      <c r="F159" s="1128"/>
      <c r="G159" s="1175">
        <f t="shared" si="15"/>
        <v>0</v>
      </c>
      <c r="H159" s="1128"/>
      <c r="I159" s="1128"/>
      <c r="J159" s="1128"/>
      <c r="O159" s="165"/>
      <c r="P159" s="165"/>
    </row>
    <row r="160" spans="1:16" ht="15" customHeight="1">
      <c r="A160" s="2261"/>
      <c r="B160" s="2262"/>
      <c r="C160" s="1128">
        <v>2019</v>
      </c>
      <c r="D160" s="1128"/>
      <c r="E160" s="1128"/>
      <c r="F160" s="1128"/>
      <c r="G160" s="1175">
        <f t="shared" si="15"/>
        <v>0</v>
      </c>
      <c r="H160" s="1128"/>
      <c r="I160" s="1128"/>
      <c r="J160" s="1128"/>
      <c r="O160" s="165"/>
      <c r="P160" s="165"/>
    </row>
    <row r="161" spans="1:18" ht="17.25" customHeight="1">
      <c r="A161" s="2261"/>
      <c r="B161" s="2262"/>
      <c r="C161" s="1128">
        <v>2020</v>
      </c>
      <c r="D161" s="1128"/>
      <c r="E161" s="1128"/>
      <c r="F161" s="1128"/>
      <c r="G161" s="1175">
        <f t="shared" si="15"/>
        <v>0</v>
      </c>
      <c r="H161" s="1128"/>
      <c r="I161" s="1128"/>
      <c r="J161" s="1128"/>
      <c r="O161" s="165"/>
      <c r="P161" s="165"/>
    </row>
    <row r="162" spans="1:18">
      <c r="A162" s="2263"/>
      <c r="B162" s="2264"/>
      <c r="C162" s="1173" t="s">
        <v>13</v>
      </c>
      <c r="D162" s="1175">
        <f t="shared" ref="D162:G162" si="16">SUM(D155:D161)</f>
        <v>0</v>
      </c>
      <c r="E162" s="1175">
        <f t="shared" si="16"/>
        <v>0</v>
      </c>
      <c r="F162" s="1175">
        <f t="shared" si="16"/>
        <v>0</v>
      </c>
      <c r="G162" s="1175">
        <f t="shared" si="16"/>
        <v>0</v>
      </c>
      <c r="H162" s="1175">
        <f>SUM(H155:H161)</f>
        <v>0</v>
      </c>
      <c r="I162" s="1175">
        <f>SUM(I155:I161)</f>
        <v>0</v>
      </c>
      <c r="J162" s="1207">
        <f>SUM(J155:J161)</f>
        <v>0</v>
      </c>
    </row>
    <row r="163" spans="1:18" ht="24.75" customHeight="1">
      <c r="A163" s="237"/>
      <c r="B163" s="238"/>
      <c r="C163" s="239"/>
      <c r="D163" s="165"/>
      <c r="E163" s="165"/>
      <c r="F163" s="165"/>
      <c r="G163" s="165"/>
      <c r="H163" s="165"/>
      <c r="I163" s="165"/>
      <c r="J163" s="241"/>
      <c r="K163" s="7"/>
    </row>
    <row r="164" spans="1:18" ht="95.25" customHeight="1">
      <c r="A164" s="1213" t="s">
        <v>115</v>
      </c>
      <c r="B164" s="1214" t="s">
        <v>333</v>
      </c>
      <c r="C164" s="1215" t="s">
        <v>9</v>
      </c>
      <c r="D164" s="1216" t="s">
        <v>117</v>
      </c>
      <c r="E164" s="1216" t="s">
        <v>118</v>
      </c>
      <c r="F164" s="1216" t="s">
        <v>119</v>
      </c>
      <c r="G164" s="1216" t="s">
        <v>120</v>
      </c>
      <c r="H164" s="1216" t="s">
        <v>121</v>
      </c>
      <c r="I164" s="1216" t="s">
        <v>122</v>
      </c>
      <c r="J164" s="1217" t="s">
        <v>123</v>
      </c>
      <c r="K164" s="1217" t="s">
        <v>124</v>
      </c>
      <c r="L164" s="7"/>
    </row>
    <row r="165" spans="1:18" ht="15.75" customHeight="1">
      <c r="A165" s="2267"/>
      <c r="B165" s="2268"/>
      <c r="C165" s="1218">
        <v>2014</v>
      </c>
      <c r="D165" s="1219"/>
      <c r="E165" s="1219"/>
      <c r="F165" s="1219"/>
      <c r="G165" s="1219"/>
      <c r="H165" s="1219"/>
      <c r="I165" s="1219"/>
      <c r="J165" s="1220">
        <f>SUM(D165,F165,H165)</f>
        <v>0</v>
      </c>
      <c r="K165" s="1219">
        <f>SUM(E165,G165,I165)</f>
        <v>0</v>
      </c>
      <c r="L165" s="7"/>
    </row>
    <row r="166" spans="1:18">
      <c r="A166" s="2269"/>
      <c r="B166" s="2270"/>
      <c r="C166" s="1221">
        <v>2015</v>
      </c>
      <c r="D166" s="1222">
        <v>0</v>
      </c>
      <c r="E166" s="1222">
        <v>0</v>
      </c>
      <c r="F166" s="1222">
        <v>0</v>
      </c>
      <c r="G166" s="1222">
        <v>0</v>
      </c>
      <c r="H166" s="1222">
        <v>0</v>
      </c>
      <c r="I166" s="1222">
        <v>0</v>
      </c>
      <c r="J166" s="1223">
        <f t="shared" ref="J166:K171" si="17">SUM(D166,F166,H166)</f>
        <v>0</v>
      </c>
      <c r="K166" s="1224">
        <f t="shared" si="17"/>
        <v>0</v>
      </c>
      <c r="L166" s="7"/>
    </row>
    <row r="167" spans="1:18">
      <c r="A167" s="2269"/>
      <c r="B167" s="2270"/>
      <c r="C167" s="1221">
        <v>2016</v>
      </c>
      <c r="D167" s="1222">
        <v>0</v>
      </c>
      <c r="E167" s="1222">
        <v>0</v>
      </c>
      <c r="F167" s="1222">
        <v>0</v>
      </c>
      <c r="G167" s="1222">
        <v>0</v>
      </c>
      <c r="H167" s="1222">
        <v>0</v>
      </c>
      <c r="I167" s="1222">
        <v>0</v>
      </c>
      <c r="J167" s="1223">
        <f t="shared" si="17"/>
        <v>0</v>
      </c>
      <c r="K167" s="1224">
        <f t="shared" si="17"/>
        <v>0</v>
      </c>
    </row>
    <row r="168" spans="1:18">
      <c r="A168" s="2269"/>
      <c r="B168" s="2270"/>
      <c r="C168" s="1221">
        <v>2017</v>
      </c>
      <c r="D168" s="1222">
        <v>0</v>
      </c>
      <c r="E168" s="1222">
        <v>0</v>
      </c>
      <c r="F168" s="1222">
        <v>0</v>
      </c>
      <c r="G168" s="1222">
        <v>0</v>
      </c>
      <c r="H168" s="1222">
        <v>0</v>
      </c>
      <c r="I168" s="1222">
        <v>0</v>
      </c>
      <c r="J168" s="1223">
        <v>0</v>
      </c>
      <c r="K168" s="1224">
        <v>0</v>
      </c>
    </row>
    <row r="169" spans="1:18">
      <c r="A169" s="2269"/>
      <c r="B169" s="2270"/>
      <c r="C169" s="1221">
        <v>2018</v>
      </c>
      <c r="D169" s="1222"/>
      <c r="E169" s="1222"/>
      <c r="F169" s="1222"/>
      <c r="G169" s="1222"/>
      <c r="H169" s="1222"/>
      <c r="I169" s="1222"/>
      <c r="J169" s="1223">
        <f t="shared" si="17"/>
        <v>0</v>
      </c>
      <c r="K169" s="1224">
        <f t="shared" si="17"/>
        <v>0</v>
      </c>
      <c r="L169" s="7"/>
    </row>
    <row r="170" spans="1:18">
      <c r="A170" s="2269"/>
      <c r="B170" s="2270"/>
      <c r="C170" s="1221">
        <v>2019</v>
      </c>
      <c r="D170" s="1222"/>
      <c r="E170" s="1222"/>
      <c r="F170" s="1222"/>
      <c r="G170" s="1222"/>
      <c r="H170" s="1222"/>
      <c r="I170" s="1222"/>
      <c r="J170" s="1223">
        <f t="shared" si="17"/>
        <v>0</v>
      </c>
      <c r="K170" s="1224">
        <f t="shared" si="17"/>
        <v>0</v>
      </c>
      <c r="L170" s="7"/>
    </row>
    <row r="171" spans="1:18">
      <c r="A171" s="2269"/>
      <c r="B171" s="2270"/>
      <c r="C171" s="1221">
        <v>2020</v>
      </c>
      <c r="D171" s="1222"/>
      <c r="E171" s="1222"/>
      <c r="F171" s="1222"/>
      <c r="G171" s="1222"/>
      <c r="H171" s="1222"/>
      <c r="I171" s="1222"/>
      <c r="J171" s="1223">
        <f t="shared" si="17"/>
        <v>0</v>
      </c>
      <c r="K171" s="1224">
        <f t="shared" si="17"/>
        <v>0</v>
      </c>
      <c r="L171" s="7"/>
    </row>
    <row r="172" spans="1:18" ht="18.75" customHeight="1">
      <c r="A172" s="2271"/>
      <c r="B172" s="2272"/>
      <c r="C172" s="1225" t="s">
        <v>13</v>
      </c>
      <c r="D172" s="1224">
        <f>SUM(D165:D171)</f>
        <v>0</v>
      </c>
      <c r="E172" s="1224">
        <f t="shared" ref="E172:K172" si="18">SUM(E165:E171)</f>
        <v>0</v>
      </c>
      <c r="F172" s="1224">
        <f t="shared" si="18"/>
        <v>0</v>
      </c>
      <c r="G172" s="1224">
        <f t="shared" si="18"/>
        <v>0</v>
      </c>
      <c r="H172" s="1224">
        <f t="shared" si="18"/>
        <v>0</v>
      </c>
      <c r="I172" s="1224">
        <f t="shared" si="18"/>
        <v>0</v>
      </c>
      <c r="J172" s="1224">
        <f t="shared" si="18"/>
        <v>0</v>
      </c>
      <c r="K172" s="1224">
        <f t="shared" si="18"/>
        <v>0</v>
      </c>
      <c r="L172" s="7"/>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
      <c r="A175" s="272"/>
      <c r="B175" s="272"/>
    </row>
    <row r="176" spans="1:18" s="56" customFormat="1" ht="22.5" customHeight="1">
      <c r="A176" s="2273" t="s">
        <v>127</v>
      </c>
      <c r="B176" s="2249" t="s">
        <v>334</v>
      </c>
      <c r="C176" s="2251" t="s">
        <v>9</v>
      </c>
      <c r="D176" s="1226" t="s">
        <v>128</v>
      </c>
      <c r="E176" s="1226"/>
      <c r="F176" s="1226"/>
      <c r="G176" s="1226"/>
      <c r="H176" s="1227"/>
      <c r="I176" s="2251" t="s">
        <v>129</v>
      </c>
      <c r="J176" s="2251"/>
      <c r="K176" s="2251"/>
      <c r="L176" s="2251"/>
      <c r="M176" s="2251"/>
      <c r="N176" s="2251"/>
      <c r="O176" s="2251"/>
    </row>
    <row r="177" spans="1:15" s="56" customFormat="1" ht="129.75" customHeight="1">
      <c r="A177" s="2273"/>
      <c r="B177" s="2249"/>
      <c r="C177" s="2251"/>
      <c r="D177" s="1227" t="s">
        <v>130</v>
      </c>
      <c r="E177" s="1227" t="s">
        <v>131</v>
      </c>
      <c r="F177" s="1227" t="s">
        <v>132</v>
      </c>
      <c r="G177" s="1228" t="s">
        <v>133</v>
      </c>
      <c r="H177" s="1229" t="s">
        <v>134</v>
      </c>
      <c r="I177" s="1230" t="s">
        <v>59</v>
      </c>
      <c r="J177" s="1230" t="s">
        <v>60</v>
      </c>
      <c r="K177" s="1230" t="s">
        <v>61</v>
      </c>
      <c r="L177" s="1230" t="s">
        <v>62</v>
      </c>
      <c r="M177" s="1230" t="s">
        <v>63</v>
      </c>
      <c r="N177" s="1230" t="s">
        <v>64</v>
      </c>
      <c r="O177" s="1230" t="s">
        <v>65</v>
      </c>
    </row>
    <row r="178" spans="1:15" ht="25.5" customHeight="1">
      <c r="A178" s="2252" t="s">
        <v>335</v>
      </c>
      <c r="B178" s="2253"/>
      <c r="C178" s="1126">
        <v>2014</v>
      </c>
      <c r="D178" s="1126"/>
      <c r="E178" s="1126"/>
      <c r="F178" s="1126"/>
      <c r="G178" s="1175">
        <f>SUM(D178:F178)</f>
        <v>0</v>
      </c>
      <c r="H178" s="1126"/>
      <c r="I178" s="1126"/>
      <c r="J178" s="1126"/>
      <c r="K178" s="1126"/>
      <c r="L178" s="1126"/>
      <c r="M178" s="1126"/>
      <c r="N178" s="1126"/>
      <c r="O178" s="1126"/>
    </row>
    <row r="179" spans="1:15" ht="22.5" customHeight="1">
      <c r="A179" s="2254"/>
      <c r="B179" s="2255"/>
      <c r="C179" s="1128">
        <v>2015</v>
      </c>
      <c r="D179" s="1129">
        <v>1</v>
      </c>
      <c r="E179" s="1128">
        <v>0</v>
      </c>
      <c r="F179" s="1128">
        <v>0</v>
      </c>
      <c r="G179" s="1175">
        <f t="shared" ref="G179:G184" si="19">SUM(D179:F179)</f>
        <v>1</v>
      </c>
      <c r="H179" s="1129">
        <v>2</v>
      </c>
      <c r="I179" s="1128">
        <v>0</v>
      </c>
      <c r="J179" s="1128">
        <v>0</v>
      </c>
      <c r="K179" s="1128">
        <v>0</v>
      </c>
      <c r="L179" s="1128">
        <v>0</v>
      </c>
      <c r="M179" s="1128">
        <v>0</v>
      </c>
      <c r="N179" s="1128">
        <v>0</v>
      </c>
      <c r="O179" s="1129">
        <v>1</v>
      </c>
    </row>
    <row r="180" spans="1:15" ht="30" customHeight="1">
      <c r="A180" s="2254"/>
      <c r="B180" s="2255"/>
      <c r="C180" s="1128">
        <v>2016</v>
      </c>
      <c r="D180" s="1128">
        <f>24+4</f>
        <v>28</v>
      </c>
      <c r="E180" s="1128">
        <v>1</v>
      </c>
      <c r="F180" s="1128">
        <v>1</v>
      </c>
      <c r="G180" s="1175">
        <f t="shared" si="19"/>
        <v>30</v>
      </c>
      <c r="H180" s="1135">
        <f>69+5</f>
        <v>74</v>
      </c>
      <c r="I180" s="1128">
        <v>0</v>
      </c>
      <c r="J180" s="1128">
        <v>9</v>
      </c>
      <c r="K180" s="1128">
        <v>0</v>
      </c>
      <c r="L180" s="1128">
        <v>7</v>
      </c>
      <c r="M180" s="1128">
        <f>1+2</f>
        <v>3</v>
      </c>
      <c r="N180" s="1128">
        <v>0</v>
      </c>
      <c r="O180" s="1128">
        <f>9+2</f>
        <v>11</v>
      </c>
    </row>
    <row r="181" spans="1:15" ht="41.25" customHeight="1">
      <c r="A181" s="2254"/>
      <c r="B181" s="2255"/>
      <c r="C181" s="1128">
        <v>2017</v>
      </c>
      <c r="D181" s="1128">
        <v>22</v>
      </c>
      <c r="E181" s="1128">
        <v>1</v>
      </c>
      <c r="F181" s="1128">
        <v>0</v>
      </c>
      <c r="G181" s="1175">
        <f t="shared" si="19"/>
        <v>23</v>
      </c>
      <c r="H181" s="1135">
        <v>88</v>
      </c>
      <c r="I181" s="1128">
        <f>6+1+3</f>
        <v>10</v>
      </c>
      <c r="J181" s="1128">
        <v>0</v>
      </c>
      <c r="K181" s="1128">
        <v>0</v>
      </c>
      <c r="L181" s="1128">
        <f>1+4+1+1</f>
        <v>7</v>
      </c>
      <c r="M181" s="1128">
        <f>1+1+3+1</f>
        <v>6</v>
      </c>
      <c r="N181" s="1128">
        <v>0</v>
      </c>
      <c r="O181" s="1128">
        <v>0</v>
      </c>
    </row>
    <row r="182" spans="1:15">
      <c r="A182" s="2254"/>
      <c r="B182" s="2255"/>
      <c r="C182" s="1128">
        <v>2018</v>
      </c>
      <c r="D182" s="1128"/>
      <c r="E182" s="1128"/>
      <c r="F182" s="1128"/>
      <c r="G182" s="1175">
        <f t="shared" si="19"/>
        <v>0</v>
      </c>
      <c r="H182" s="1135"/>
      <c r="I182" s="1128"/>
      <c r="J182" s="1128"/>
      <c r="K182" s="1128"/>
      <c r="L182" s="1128"/>
      <c r="M182" s="1128"/>
      <c r="N182" s="1128"/>
      <c r="O182" s="1128"/>
    </row>
    <row r="183" spans="1:15">
      <c r="A183" s="2254"/>
      <c r="B183" s="2255"/>
      <c r="C183" s="1128">
        <v>2019</v>
      </c>
      <c r="D183" s="1128"/>
      <c r="E183" s="1128"/>
      <c r="F183" s="1128"/>
      <c r="G183" s="1175">
        <f t="shared" si="19"/>
        <v>0</v>
      </c>
      <c r="H183" s="1135"/>
      <c r="I183" s="1128"/>
      <c r="J183" s="1128"/>
      <c r="K183" s="1128"/>
      <c r="L183" s="1128"/>
      <c r="M183" s="1128"/>
      <c r="N183" s="1128"/>
      <c r="O183" s="1128"/>
    </row>
    <row r="184" spans="1:15" ht="24.75" customHeight="1">
      <c r="A184" s="2254"/>
      <c r="B184" s="2255"/>
      <c r="C184" s="1128">
        <v>2020</v>
      </c>
      <c r="D184" s="1128"/>
      <c r="E184" s="1128"/>
      <c r="F184" s="1128"/>
      <c r="G184" s="1175">
        <f t="shared" si="19"/>
        <v>0</v>
      </c>
      <c r="H184" s="1135"/>
      <c r="I184" s="1128"/>
      <c r="J184" s="1128"/>
      <c r="K184" s="1128"/>
      <c r="L184" s="1128"/>
      <c r="M184" s="1128"/>
      <c r="N184" s="1128"/>
      <c r="O184" s="1128"/>
    </row>
    <row r="185" spans="1:15" ht="79.5" customHeight="1">
      <c r="A185" s="2256"/>
      <c r="B185" s="2257"/>
      <c r="C185" s="1173" t="s">
        <v>13</v>
      </c>
      <c r="D185" s="1175">
        <f>SUM(D178:D184)</f>
        <v>51</v>
      </c>
      <c r="E185" s="1175">
        <f>SUM(E178:E184)</f>
        <v>2</v>
      </c>
      <c r="F185" s="1175">
        <f>SUM(F178:F184)</f>
        <v>1</v>
      </c>
      <c r="G185" s="1175">
        <f t="shared" ref="G185:O185" si="20">SUM(G178:G184)</f>
        <v>54</v>
      </c>
      <c r="H185" s="1175">
        <f t="shared" si="20"/>
        <v>164</v>
      </c>
      <c r="I185" s="1175">
        <f t="shared" si="20"/>
        <v>10</v>
      </c>
      <c r="J185" s="1175">
        <f t="shared" si="20"/>
        <v>9</v>
      </c>
      <c r="K185" s="1175">
        <f t="shared" si="20"/>
        <v>0</v>
      </c>
      <c r="L185" s="1175">
        <f t="shared" si="20"/>
        <v>14</v>
      </c>
      <c r="M185" s="1175">
        <f t="shared" si="20"/>
        <v>9</v>
      </c>
      <c r="N185" s="1175">
        <f t="shared" si="20"/>
        <v>0</v>
      </c>
      <c r="O185" s="1175">
        <f t="shared" si="20"/>
        <v>12</v>
      </c>
    </row>
    <row r="186" spans="1:15" ht="33" customHeight="1"/>
    <row r="187" spans="1:15" ht="19.5" customHeight="1">
      <c r="A187" s="2248" t="s">
        <v>137</v>
      </c>
      <c r="B187" s="2249" t="s">
        <v>334</v>
      </c>
      <c r="C187" s="2250" t="s">
        <v>9</v>
      </c>
      <c r="D187" s="2250" t="s">
        <v>138</v>
      </c>
      <c r="E187" s="2250"/>
      <c r="F187" s="2250"/>
      <c r="G187" s="2250"/>
      <c r="H187" s="2250" t="s">
        <v>139</v>
      </c>
      <c r="I187" s="2250"/>
      <c r="J187" s="2250"/>
      <c r="K187" s="2250"/>
      <c r="L187" s="2250"/>
    </row>
    <row r="188" spans="1:15" ht="90">
      <c r="A188" s="2248"/>
      <c r="B188" s="2249"/>
      <c r="C188" s="2250"/>
      <c r="D188" s="1230" t="s">
        <v>140</v>
      </c>
      <c r="E188" s="1230" t="s">
        <v>141</v>
      </c>
      <c r="F188" s="1230" t="s">
        <v>142</v>
      </c>
      <c r="G188" s="1229" t="s">
        <v>13</v>
      </c>
      <c r="H188" s="1230" t="s">
        <v>143</v>
      </c>
      <c r="I188" s="1230" t="s">
        <v>144</v>
      </c>
      <c r="J188" s="1230" t="s">
        <v>145</v>
      </c>
      <c r="K188" s="1230" t="s">
        <v>146</v>
      </c>
      <c r="L188" s="1230" t="s">
        <v>147</v>
      </c>
    </row>
    <row r="189" spans="1:15" ht="15" customHeight="1">
      <c r="A189" s="1231" t="s">
        <v>336</v>
      </c>
      <c r="B189" s="1232"/>
      <c r="C189" s="1155">
        <v>2014</v>
      </c>
      <c r="D189" s="1126"/>
      <c r="E189" s="1126"/>
      <c r="F189" s="1126"/>
      <c r="G189" s="1175">
        <f>SUM(D189:F189)</f>
        <v>0</v>
      </c>
      <c r="H189" s="1126"/>
      <c r="I189" s="1126"/>
      <c r="J189" s="1126"/>
      <c r="K189" s="1126"/>
      <c r="L189" s="1126"/>
    </row>
    <row r="190" spans="1:15">
      <c r="A190" s="1233" t="s">
        <v>337</v>
      </c>
      <c r="B190" s="1232"/>
      <c r="C190" s="1156">
        <v>2015</v>
      </c>
      <c r="D190" s="1129">
        <v>4</v>
      </c>
      <c r="E190" s="1128">
        <v>0</v>
      </c>
      <c r="F190" s="1128">
        <v>0</v>
      </c>
      <c r="G190" s="1175">
        <f t="shared" ref="G190:G195" si="21">SUM(D190:F190)</f>
        <v>4</v>
      </c>
      <c r="H190" s="1128">
        <v>0</v>
      </c>
      <c r="I190" s="1128">
        <v>0</v>
      </c>
      <c r="J190" s="1128">
        <v>0</v>
      </c>
      <c r="K190" s="1128">
        <v>0</v>
      </c>
      <c r="L190" s="1129">
        <v>4</v>
      </c>
    </row>
    <row r="191" spans="1:15" ht="60.75" customHeight="1">
      <c r="A191" s="1233" t="s">
        <v>338</v>
      </c>
      <c r="B191" s="1232"/>
      <c r="C191" s="1156">
        <v>2016</v>
      </c>
      <c r="D191" s="1128">
        <f>1159+357</f>
        <v>1516</v>
      </c>
      <c r="E191" s="1128">
        <v>30</v>
      </c>
      <c r="F191" s="1128">
        <v>40</v>
      </c>
      <c r="G191" s="1175">
        <f t="shared" si="21"/>
        <v>1586</v>
      </c>
      <c r="H191" s="1128">
        <v>0</v>
      </c>
      <c r="I191" s="1128">
        <f>49+40</f>
        <v>89</v>
      </c>
      <c r="J191" s="1128">
        <v>0</v>
      </c>
      <c r="K191" s="1128">
        <v>0</v>
      </c>
      <c r="L191" s="1128">
        <f>80+18+60+4+146+89+40+125+30+360+60+145+90+250</f>
        <v>1497</v>
      </c>
    </row>
    <row r="192" spans="1:15">
      <c r="A192" s="1231"/>
      <c r="B192" s="1232"/>
      <c r="C192" s="1156">
        <v>2017</v>
      </c>
      <c r="D192" s="1128">
        <v>1858</v>
      </c>
      <c r="E192" s="1128">
        <v>40</v>
      </c>
      <c r="F192" s="1128">
        <v>0</v>
      </c>
      <c r="G192" s="1175">
        <f t="shared" si="21"/>
        <v>1898</v>
      </c>
      <c r="H192" s="1128">
        <v>0</v>
      </c>
      <c r="I192" s="1128">
        <f>60+2+35+35+22+40</f>
        <v>194</v>
      </c>
      <c r="J192" s="1128">
        <f>28+2</f>
        <v>30</v>
      </c>
      <c r="K192" s="1128">
        <v>0</v>
      </c>
      <c r="L192" s="1128">
        <f>102+120+237+30+236+779+146+24</f>
        <v>1674</v>
      </c>
    </row>
    <row r="193" spans="1:14">
      <c r="A193" s="1231" t="s">
        <v>339</v>
      </c>
      <c r="B193" s="1232"/>
      <c r="C193" s="1156">
        <v>2018</v>
      </c>
      <c r="D193" s="1128"/>
      <c r="E193" s="1128"/>
      <c r="F193" s="1128"/>
      <c r="G193" s="1175">
        <f t="shared" si="21"/>
        <v>0</v>
      </c>
      <c r="H193" s="1128"/>
      <c r="I193" s="1128"/>
      <c r="J193" s="1128"/>
      <c r="K193" s="1128"/>
      <c r="L193" s="1128"/>
    </row>
    <row r="194" spans="1:14">
      <c r="A194" s="1233" t="s">
        <v>340</v>
      </c>
      <c r="B194" s="1232"/>
      <c r="C194" s="1156">
        <v>2019</v>
      </c>
      <c r="D194" s="1128"/>
      <c r="E194" s="1128"/>
      <c r="F194" s="1128"/>
      <c r="G194" s="1175">
        <f t="shared" si="21"/>
        <v>0</v>
      </c>
      <c r="H194" s="1128"/>
      <c r="I194" s="1128"/>
      <c r="J194" s="1128"/>
      <c r="K194" s="1128"/>
      <c r="L194" s="1128"/>
    </row>
    <row r="195" spans="1:14" ht="55.5" customHeight="1">
      <c r="A195" s="1233" t="s">
        <v>341</v>
      </c>
      <c r="B195" s="1232"/>
      <c r="C195" s="1156">
        <v>2020</v>
      </c>
      <c r="D195" s="1128"/>
      <c r="E195" s="1128"/>
      <c r="F195" s="1128"/>
      <c r="G195" s="1175">
        <f t="shared" si="21"/>
        <v>0</v>
      </c>
      <c r="H195" s="1128"/>
      <c r="I195" s="1128"/>
      <c r="J195" s="1128"/>
      <c r="K195" s="1128"/>
      <c r="L195" s="1128"/>
    </row>
    <row r="196" spans="1:14" ht="15.75" thickBot="1">
      <c r="A196" s="1234"/>
      <c r="B196" s="1235"/>
      <c r="C196" s="1179" t="s">
        <v>13</v>
      </c>
      <c r="D196" s="1175">
        <f t="shared" ref="D196:L196" si="22">SUM(D189:D195)</f>
        <v>3378</v>
      </c>
      <c r="E196" s="1175">
        <f t="shared" si="22"/>
        <v>70</v>
      </c>
      <c r="F196" s="1175">
        <f t="shared" si="22"/>
        <v>40</v>
      </c>
      <c r="G196" s="1175">
        <f t="shared" si="22"/>
        <v>3488</v>
      </c>
      <c r="H196" s="1175">
        <f t="shared" si="22"/>
        <v>0</v>
      </c>
      <c r="I196" s="1175">
        <f t="shared" si="22"/>
        <v>283</v>
      </c>
      <c r="J196" s="1175">
        <f t="shared" si="22"/>
        <v>30</v>
      </c>
      <c r="K196" s="1175">
        <f t="shared" si="22"/>
        <v>0</v>
      </c>
      <c r="L196" s="1175">
        <f t="shared" si="22"/>
        <v>3175</v>
      </c>
    </row>
    <row r="198" spans="1:14">
      <c r="A198" s="7"/>
      <c r="B198" s="7"/>
      <c r="C198" s="7"/>
      <c r="D198" s="7"/>
      <c r="E198" s="7"/>
      <c r="F198" s="7"/>
      <c r="G198" s="7"/>
      <c r="H198" s="7"/>
      <c r="I198" s="7"/>
      <c r="J198" s="7"/>
      <c r="K198" s="7"/>
      <c r="L198" s="7"/>
    </row>
    <row r="199" spans="1:14" ht="21">
      <c r="A199" s="483" t="s">
        <v>149</v>
      </c>
      <c r="B199" s="483"/>
      <c r="C199" s="1236"/>
      <c r="D199" s="1236"/>
      <c r="E199" s="1236"/>
      <c r="F199" s="1236"/>
      <c r="G199" s="1236"/>
      <c r="H199" s="1236"/>
      <c r="I199" s="1236"/>
      <c r="J199" s="1236"/>
      <c r="K199" s="1236"/>
      <c r="L199" s="1236"/>
      <c r="M199" s="65"/>
      <c r="N199" s="65"/>
    </row>
    <row r="200" spans="1:14" s="160" customFormat="1" ht="22.5" customHeight="1">
      <c r="A200" s="1237"/>
      <c r="B200" s="1237"/>
      <c r="L200" s="78"/>
      <c r="M200" s="78"/>
    </row>
    <row r="201" spans="1:14" s="56" customFormat="1" ht="101.25" customHeight="1">
      <c r="A201" s="1238" t="s">
        <v>150</v>
      </c>
      <c r="B201" s="1239" t="s">
        <v>182</v>
      </c>
      <c r="C201" s="1240" t="s">
        <v>9</v>
      </c>
      <c r="D201" s="1240" t="s">
        <v>151</v>
      </c>
      <c r="E201" s="1240" t="s">
        <v>152</v>
      </c>
      <c r="F201" s="1240" t="s">
        <v>153</v>
      </c>
      <c r="G201" s="1240" t="s">
        <v>154</v>
      </c>
      <c r="H201" s="1240" t="s">
        <v>155</v>
      </c>
      <c r="I201" s="1240" t="s">
        <v>156</v>
      </c>
      <c r="J201" s="1240" t="s">
        <v>157</v>
      </c>
      <c r="K201" s="1240" t="s">
        <v>158</v>
      </c>
      <c r="L201" s="1240" t="s">
        <v>159</v>
      </c>
    </row>
    <row r="202" spans="1:14" ht="15" customHeight="1">
      <c r="A202" s="2242"/>
      <c r="B202" s="2243"/>
      <c r="C202" s="1185">
        <v>2014</v>
      </c>
      <c r="D202" s="1186"/>
      <c r="E202" s="1186"/>
      <c r="F202" s="1186"/>
      <c r="G202" s="1186"/>
      <c r="H202" s="1186"/>
      <c r="I202" s="1186"/>
      <c r="J202" s="1186"/>
      <c r="K202" s="1186"/>
      <c r="L202" s="1186"/>
    </row>
    <row r="203" spans="1:14">
      <c r="A203" s="2244"/>
      <c r="B203" s="2245"/>
      <c r="C203" s="1187">
        <v>2015</v>
      </c>
      <c r="D203" s="1188">
        <v>0</v>
      </c>
      <c r="E203" s="1188">
        <v>0</v>
      </c>
      <c r="F203" s="1188">
        <v>0</v>
      </c>
      <c r="G203" s="1188">
        <v>0</v>
      </c>
      <c r="H203" s="1188">
        <v>0</v>
      </c>
      <c r="I203" s="1188">
        <v>0</v>
      </c>
      <c r="J203" s="1188">
        <v>0</v>
      </c>
      <c r="K203" s="1188">
        <v>0</v>
      </c>
      <c r="L203" s="1188">
        <v>0</v>
      </c>
    </row>
    <row r="204" spans="1:14">
      <c r="A204" s="2244"/>
      <c r="B204" s="2245"/>
      <c r="C204" s="1187">
        <v>2016</v>
      </c>
      <c r="D204" s="1188">
        <v>0</v>
      </c>
      <c r="E204" s="1188">
        <v>0</v>
      </c>
      <c r="F204" s="1188">
        <v>0</v>
      </c>
      <c r="G204" s="1188">
        <v>0</v>
      </c>
      <c r="H204" s="1188">
        <v>0</v>
      </c>
      <c r="I204" s="1188">
        <v>0</v>
      </c>
      <c r="J204" s="1188">
        <v>0</v>
      </c>
      <c r="K204" s="1188">
        <v>0</v>
      </c>
      <c r="L204" s="1188">
        <v>0</v>
      </c>
    </row>
    <row r="205" spans="1:14">
      <c r="A205" s="2244"/>
      <c r="B205" s="2245"/>
      <c r="C205" s="1187">
        <v>2017</v>
      </c>
      <c r="D205" s="1189">
        <v>0</v>
      </c>
      <c r="E205" s="1189">
        <v>0</v>
      </c>
      <c r="F205" s="1189">
        <v>0</v>
      </c>
      <c r="G205" s="1189">
        <v>0</v>
      </c>
      <c r="H205" s="1189">
        <v>0</v>
      </c>
      <c r="I205" s="1189">
        <v>0</v>
      </c>
      <c r="J205" s="1189">
        <v>0</v>
      </c>
      <c r="K205" s="1189">
        <v>0</v>
      </c>
      <c r="L205" s="1189">
        <v>0</v>
      </c>
    </row>
    <row r="206" spans="1:14">
      <c r="A206" s="2244"/>
      <c r="B206" s="2245"/>
      <c r="C206" s="1187">
        <v>2018</v>
      </c>
      <c r="D206" s="1188"/>
      <c r="E206" s="1188"/>
      <c r="F206" s="1188"/>
      <c r="G206" s="1188"/>
      <c r="H206" s="1188"/>
      <c r="I206" s="1188"/>
      <c r="J206" s="1188"/>
      <c r="K206" s="1188"/>
      <c r="L206" s="1188"/>
    </row>
    <row r="207" spans="1:14">
      <c r="A207" s="2244"/>
      <c r="B207" s="2245"/>
      <c r="C207" s="1187">
        <v>2019</v>
      </c>
      <c r="D207" s="1188"/>
      <c r="E207" s="1188"/>
      <c r="F207" s="1188"/>
      <c r="G207" s="1188"/>
      <c r="H207" s="1188"/>
      <c r="I207" s="1188"/>
      <c r="J207" s="1188"/>
      <c r="K207" s="1188"/>
      <c r="L207" s="1188"/>
    </row>
    <row r="208" spans="1:14">
      <c r="A208" s="2244"/>
      <c r="B208" s="2245"/>
      <c r="C208" s="1187">
        <v>2020</v>
      </c>
      <c r="D208" s="1188"/>
      <c r="E208" s="1188"/>
      <c r="F208" s="1188"/>
      <c r="G208" s="1188"/>
      <c r="H208" s="1188"/>
      <c r="I208" s="1188"/>
      <c r="J208" s="1188"/>
      <c r="K208" s="1188"/>
      <c r="L208" s="1188"/>
    </row>
    <row r="209" spans="1:12" ht="20.25" customHeight="1">
      <c r="A209" s="2246"/>
      <c r="B209" s="2247"/>
      <c r="C209" s="1191" t="s">
        <v>13</v>
      </c>
      <c r="D209" s="1193">
        <f>SUM(D202:D208)</f>
        <v>0</v>
      </c>
      <c r="E209" s="1193">
        <f t="shared" ref="E209:L209" si="23">SUM(E202:E208)</f>
        <v>0</v>
      </c>
      <c r="F209" s="1193">
        <f t="shared" si="23"/>
        <v>0</v>
      </c>
      <c r="G209" s="1193">
        <f t="shared" si="23"/>
        <v>0</v>
      </c>
      <c r="H209" s="1193">
        <f t="shared" si="23"/>
        <v>0</v>
      </c>
      <c r="I209" s="1193">
        <f t="shared" si="23"/>
        <v>0</v>
      </c>
      <c r="J209" s="1193">
        <f t="shared" si="23"/>
        <v>0</v>
      </c>
      <c r="K209" s="1193">
        <f t="shared" si="23"/>
        <v>0</v>
      </c>
      <c r="L209" s="1193">
        <f t="shared" si="23"/>
        <v>0</v>
      </c>
    </row>
    <row r="212" spans="1:12" ht="29.25">
      <c r="A212" s="1241" t="s">
        <v>161</v>
      </c>
      <c r="B212" s="1242" t="s">
        <v>342</v>
      </c>
      <c r="C212" s="1205">
        <v>2014</v>
      </c>
      <c r="D212" s="1205">
        <v>2015</v>
      </c>
      <c r="E212" s="1205">
        <v>2016</v>
      </c>
      <c r="F212" s="1205">
        <v>2017</v>
      </c>
      <c r="G212" s="1205">
        <v>2018</v>
      </c>
      <c r="H212" s="1205">
        <v>2019</v>
      </c>
      <c r="I212" s="1205">
        <v>2020</v>
      </c>
    </row>
    <row r="213" spans="1:12" ht="118.5" customHeight="1">
      <c r="A213" s="1128" t="s">
        <v>163</v>
      </c>
      <c r="B213" s="1243" t="s">
        <v>343</v>
      </c>
      <c r="C213" s="1155"/>
      <c r="D213" s="1244">
        <f>D214+D216+D217</f>
        <v>93483.89</v>
      </c>
      <c r="E213" s="1244">
        <f>E214+E216+E217</f>
        <v>555242.31000000006</v>
      </c>
      <c r="F213" s="1244">
        <f>F214+F216+F217</f>
        <v>502588.89</v>
      </c>
      <c r="G213" s="1156"/>
      <c r="H213" s="1156"/>
      <c r="I213" s="1156"/>
    </row>
    <row r="214" spans="1:12">
      <c r="A214" s="1128" t="s">
        <v>164</v>
      </c>
      <c r="B214" s="1243"/>
      <c r="C214" s="1155"/>
      <c r="D214" s="1245">
        <v>80668.899999999994</v>
      </c>
      <c r="E214" s="1244">
        <f>3291.5+7370.65+13642.26+211.82+4890+4700+28104.7+9296.8+17749.45+24942.5+5335+75299.37+50000+843.6+945+1600+12715</f>
        <v>260937.65</v>
      </c>
      <c r="F214" s="1245">
        <v>281090.43</v>
      </c>
      <c r="G214" s="1156"/>
      <c r="H214" s="1156"/>
      <c r="I214" s="1156"/>
    </row>
    <row r="215" spans="1:12">
      <c r="A215" s="1128" t="s">
        <v>165</v>
      </c>
      <c r="B215" s="1243"/>
      <c r="C215" s="1155"/>
      <c r="D215" s="1245">
        <v>0</v>
      </c>
      <c r="E215" s="1244">
        <v>0</v>
      </c>
      <c r="F215" s="1245">
        <v>0</v>
      </c>
      <c r="G215" s="1156"/>
      <c r="H215" s="1156"/>
      <c r="I215" s="1156"/>
    </row>
    <row r="216" spans="1:12" ht="132.75" customHeight="1">
      <c r="A216" s="1128" t="s">
        <v>166</v>
      </c>
      <c r="B216" s="1243" t="s">
        <v>344</v>
      </c>
      <c r="C216" s="1155"/>
      <c r="D216" s="1245">
        <v>11563.08</v>
      </c>
      <c r="E216" s="1244">
        <f>27231.51+124715.6</f>
        <v>151947.11000000002</v>
      </c>
      <c r="F216" s="1245">
        <v>115565.75</v>
      </c>
      <c r="G216" s="1156"/>
      <c r="H216" s="1156"/>
      <c r="I216" s="1156"/>
    </row>
    <row r="217" spans="1:12" ht="119.25" customHeight="1">
      <c r="A217" s="1128" t="s">
        <v>167</v>
      </c>
      <c r="B217" s="1243" t="s">
        <v>344</v>
      </c>
      <c r="C217" s="1155"/>
      <c r="D217" s="1245">
        <v>1251.9100000000001</v>
      </c>
      <c r="E217" s="1244">
        <f>12112.4+22275.07+11946.7+30363.96+13607.5+24270.88+2090+2639+675+21477.04+900</f>
        <v>142357.55000000002</v>
      </c>
      <c r="F217" s="1245">
        <v>105932.71</v>
      </c>
      <c r="G217" s="1156"/>
      <c r="H217" s="1156"/>
      <c r="I217" s="1156"/>
    </row>
    <row r="218" spans="1:12" ht="165">
      <c r="A218" s="1778" t="s">
        <v>168</v>
      </c>
      <c r="B218" s="1246" t="s">
        <v>583</v>
      </c>
      <c r="C218" s="1779"/>
      <c r="D218" s="1781">
        <v>97277.6</v>
      </c>
      <c r="E218" s="1782">
        <v>278731.90000000002</v>
      </c>
      <c r="F218" s="1783">
        <f>32065.96+251028.03</f>
        <v>283093.99</v>
      </c>
      <c r="G218" s="1777"/>
      <c r="H218" s="1777"/>
      <c r="I218" s="1777"/>
    </row>
    <row r="219" spans="1:12">
      <c r="A219" s="1128"/>
      <c r="B219" s="1247"/>
      <c r="C219" s="1138" t="s">
        <v>13</v>
      </c>
      <c r="D219" s="1248">
        <f t="shared" ref="D219:I219" si="24">SUM(D214:D218)</f>
        <v>190761.49</v>
      </c>
      <c r="E219" s="1248">
        <f t="shared" si="24"/>
        <v>833974.21000000008</v>
      </c>
      <c r="F219" s="1248">
        <f t="shared" si="24"/>
        <v>785682.88</v>
      </c>
      <c r="G219" s="1138">
        <f t="shared" si="24"/>
        <v>0</v>
      </c>
      <c r="H219" s="1138">
        <f t="shared" si="24"/>
        <v>0</v>
      </c>
      <c r="I219" s="1138">
        <f t="shared" si="24"/>
        <v>0</v>
      </c>
    </row>
    <row r="222" spans="1:12">
      <c r="A222" s="56"/>
      <c r="D222" s="327"/>
      <c r="E222" s="327"/>
    </row>
    <row r="223" spans="1:12">
      <c r="F223" s="160"/>
    </row>
    <row r="224" spans="1:12">
      <c r="F224" s="1249"/>
    </row>
    <row r="225" spans="1:5">
      <c r="B225" s="7"/>
    </row>
    <row r="226" spans="1:5">
      <c r="A226" s="160"/>
      <c r="B226" s="7"/>
    </row>
    <row r="227" spans="1:5">
      <c r="A227" s="56"/>
      <c r="B227" s="1250"/>
      <c r="E227" s="327"/>
    </row>
    <row r="228" spans="1:5">
      <c r="B228" s="1250"/>
    </row>
    <row r="229" spans="1:5">
      <c r="B229" s="1250"/>
    </row>
    <row r="230" spans="1:5">
      <c r="B230" s="1250"/>
    </row>
  </sheetData>
  <mergeCells count="82">
    <mergeCell ref="A28:B28"/>
    <mergeCell ref="M1:O1"/>
    <mergeCell ref="F3:O3"/>
    <mergeCell ref="A4:O10"/>
    <mergeCell ref="B15:B16"/>
    <mergeCell ref="C15:C16"/>
    <mergeCell ref="D15:G15"/>
    <mergeCell ref="A17:B17"/>
    <mergeCell ref="A18:B18"/>
    <mergeCell ref="B26:B27"/>
    <mergeCell ref="C26:C27"/>
    <mergeCell ref="D26:G26"/>
    <mergeCell ref="A53:B53"/>
    <mergeCell ref="A29:B29"/>
    <mergeCell ref="A30:B30"/>
    <mergeCell ref="A31:B31"/>
    <mergeCell ref="A32:B32"/>
    <mergeCell ref="A33:B33"/>
    <mergeCell ref="A34:B34"/>
    <mergeCell ref="A35:B35"/>
    <mergeCell ref="A40:B41"/>
    <mergeCell ref="A42:B43"/>
    <mergeCell ref="A50:B50"/>
    <mergeCell ref="A51:B52"/>
    <mergeCell ref="A66:B66"/>
    <mergeCell ref="A54:B54"/>
    <mergeCell ref="A55:B55"/>
    <mergeCell ref="A56:B56"/>
    <mergeCell ref="A57:B57"/>
    <mergeCell ref="A58:B58"/>
    <mergeCell ref="A60:A61"/>
    <mergeCell ref="B60:B61"/>
    <mergeCell ref="C60:C61"/>
    <mergeCell ref="D60:D61"/>
    <mergeCell ref="A63:B63"/>
    <mergeCell ref="A64:B64"/>
    <mergeCell ref="A65:B65"/>
    <mergeCell ref="A67:B67"/>
    <mergeCell ref="A68:B68"/>
    <mergeCell ref="A69:B69"/>
    <mergeCell ref="A72:B79"/>
    <mergeCell ref="A85:B92"/>
    <mergeCell ref="A120:B127"/>
    <mergeCell ref="C96:C97"/>
    <mergeCell ref="D96:E96"/>
    <mergeCell ref="B98:B105"/>
    <mergeCell ref="A107:A108"/>
    <mergeCell ref="B107:B108"/>
    <mergeCell ref="C107:C108"/>
    <mergeCell ref="D107:D108"/>
    <mergeCell ref="A96:A97"/>
    <mergeCell ref="B96:B97"/>
    <mergeCell ref="A109:B116"/>
    <mergeCell ref="A118:A119"/>
    <mergeCell ref="B118:B119"/>
    <mergeCell ref="C118:C119"/>
    <mergeCell ref="D118:D119"/>
    <mergeCell ref="A129:A130"/>
    <mergeCell ref="B129:B130"/>
    <mergeCell ref="C129:C130"/>
    <mergeCell ref="A131:B137"/>
    <mergeCell ref="A142:A143"/>
    <mergeCell ref="B142:B143"/>
    <mergeCell ref="C142:C143"/>
    <mergeCell ref="H187:L187"/>
    <mergeCell ref="I176:O176"/>
    <mergeCell ref="A178:B185"/>
    <mergeCell ref="J142:N142"/>
    <mergeCell ref="A144:B151"/>
    <mergeCell ref="A153:A154"/>
    <mergeCell ref="B153:B154"/>
    <mergeCell ref="C153:C154"/>
    <mergeCell ref="A155:B162"/>
    <mergeCell ref="A165:B172"/>
    <mergeCell ref="A176:A177"/>
    <mergeCell ref="B176:B177"/>
    <mergeCell ref="C176:C177"/>
    <mergeCell ref="A202:B209"/>
    <mergeCell ref="A187:A188"/>
    <mergeCell ref="B187:B188"/>
    <mergeCell ref="C187:C188"/>
    <mergeCell ref="D187:G1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7"/>
  <sheetViews>
    <sheetView topLeftCell="A4" zoomScale="70" zoomScaleNormal="70" workbookViewId="0">
      <selection activeCell="D219" sqref="D219:F219"/>
    </sheetView>
  </sheetViews>
  <sheetFormatPr defaultRowHeight="15"/>
  <cols>
    <col min="1" max="1" width="96.85546875" style="1254" customWidth="1"/>
    <col min="2" max="2" width="31.28515625" style="1254" customWidth="1"/>
    <col min="3" max="3" width="17.140625" style="1254" customWidth="1"/>
    <col min="4" max="7" width="18.85546875" style="1254" customWidth="1"/>
    <col min="8" max="8" width="15.28515625" style="1254" customWidth="1"/>
    <col min="9" max="9" width="17.7109375" style="1254" customWidth="1"/>
    <col min="10" max="10" width="16.85546875" style="1254" customWidth="1"/>
    <col min="11" max="11" width="18.5703125" style="1254" customWidth="1"/>
    <col min="12" max="12" width="16.42578125" style="1254" customWidth="1"/>
    <col min="13" max="13" width="15.42578125" style="1254" customWidth="1"/>
    <col min="14" max="14" width="14.85546875" style="1254" customWidth="1"/>
    <col min="15" max="15" width="14.42578125" style="1254" customWidth="1"/>
    <col min="16" max="25" width="14.5703125" style="1254" customWidth="1"/>
    <col min="26" max="1024" width="9.42578125" style="1254" customWidth="1"/>
  </cols>
  <sheetData>
    <row r="1" spans="1:25" s="1252" customFormat="1" ht="31.5">
      <c r="A1" s="1251" t="s">
        <v>0</v>
      </c>
      <c r="B1" s="2373" t="s">
        <v>345</v>
      </c>
      <c r="C1" s="2373"/>
      <c r="D1" s="2373"/>
      <c r="E1" s="2373"/>
      <c r="F1" s="2373"/>
    </row>
    <row r="2" spans="1:25" s="1252" customFormat="1" ht="20.100000000000001" customHeight="1"/>
    <row r="3" spans="1:25" s="1253" customFormat="1" ht="20.100000000000001" customHeight="1">
      <c r="A3" s="2374" t="s">
        <v>2</v>
      </c>
      <c r="B3" s="2374"/>
      <c r="C3" s="2374"/>
      <c r="D3" s="2374"/>
      <c r="E3" s="2374"/>
      <c r="F3" s="2375"/>
      <c r="G3" s="2375"/>
      <c r="H3" s="2375"/>
      <c r="I3" s="2375"/>
      <c r="J3" s="2375"/>
      <c r="K3" s="2375"/>
      <c r="L3" s="2375"/>
      <c r="M3" s="2375"/>
      <c r="N3" s="2375"/>
      <c r="O3" s="2375"/>
    </row>
    <row r="4" spans="1:25" s="1253" customFormat="1" ht="20.100000000000001" customHeight="1">
      <c r="A4" s="2376" t="s">
        <v>346</v>
      </c>
      <c r="B4" s="2376"/>
      <c r="C4" s="2376"/>
      <c r="D4" s="2376"/>
      <c r="E4" s="2376"/>
      <c r="F4" s="2376"/>
      <c r="G4" s="2376"/>
      <c r="H4" s="2376"/>
      <c r="I4" s="2376"/>
      <c r="J4" s="2376"/>
      <c r="K4" s="2376"/>
      <c r="L4" s="2376"/>
      <c r="M4" s="2376"/>
      <c r="N4" s="2376"/>
      <c r="O4" s="2376"/>
    </row>
    <row r="5" spans="1:25" s="1253" customFormat="1" ht="20.100000000000001" customHeight="1">
      <c r="A5" s="2376"/>
      <c r="B5" s="2376"/>
      <c r="C5" s="2376"/>
      <c r="D5" s="2376"/>
      <c r="E5" s="2376"/>
      <c r="F5" s="2376"/>
      <c r="G5" s="2376"/>
      <c r="H5" s="2376"/>
      <c r="I5" s="2376"/>
      <c r="J5" s="2376"/>
      <c r="K5" s="2376"/>
      <c r="L5" s="2376"/>
      <c r="M5" s="2376"/>
      <c r="N5" s="2376"/>
      <c r="O5" s="2376"/>
    </row>
    <row r="6" spans="1:25" s="1253" customFormat="1" ht="20.100000000000001" customHeight="1">
      <c r="A6" s="2376"/>
      <c r="B6" s="2376"/>
      <c r="C6" s="2376"/>
      <c r="D6" s="2376"/>
      <c r="E6" s="2376"/>
      <c r="F6" s="2376"/>
      <c r="G6" s="2376"/>
      <c r="H6" s="2376"/>
      <c r="I6" s="2376"/>
      <c r="J6" s="2376"/>
      <c r="K6" s="2376"/>
      <c r="L6" s="2376"/>
      <c r="M6" s="2376"/>
      <c r="N6" s="2376"/>
      <c r="O6" s="2376"/>
    </row>
    <row r="7" spans="1:25" s="1253" customFormat="1" ht="20.100000000000001" customHeight="1">
      <c r="A7" s="2376"/>
      <c r="B7" s="2376"/>
      <c r="C7" s="2376"/>
      <c r="D7" s="2376"/>
      <c r="E7" s="2376"/>
      <c r="F7" s="2376"/>
      <c r="G7" s="2376"/>
      <c r="H7" s="2376"/>
      <c r="I7" s="2376"/>
      <c r="J7" s="2376"/>
      <c r="K7" s="2376"/>
      <c r="L7" s="2376"/>
      <c r="M7" s="2376"/>
      <c r="N7" s="2376"/>
      <c r="O7" s="2376"/>
    </row>
    <row r="8" spans="1:25" s="1253" customFormat="1" ht="20.100000000000001" customHeight="1">
      <c r="A8" s="2376"/>
      <c r="B8" s="2376"/>
      <c r="C8" s="2376"/>
      <c r="D8" s="2376"/>
      <c r="E8" s="2376"/>
      <c r="F8" s="2376"/>
      <c r="G8" s="2376"/>
      <c r="H8" s="2376"/>
      <c r="I8" s="2376"/>
      <c r="J8" s="2376"/>
      <c r="K8" s="2376"/>
      <c r="L8" s="2376"/>
      <c r="M8" s="2376"/>
      <c r="N8" s="2376"/>
      <c r="O8" s="2376"/>
    </row>
    <row r="9" spans="1:25" s="1253" customFormat="1" ht="20.100000000000001" customHeight="1">
      <c r="A9" s="2376"/>
      <c r="B9" s="2376"/>
      <c r="C9" s="2376"/>
      <c r="D9" s="2376"/>
      <c r="E9" s="2376"/>
      <c r="F9" s="2376"/>
      <c r="G9" s="2376"/>
      <c r="H9" s="2376"/>
      <c r="I9" s="2376"/>
      <c r="J9" s="2376"/>
      <c r="K9" s="2376"/>
      <c r="L9" s="2376"/>
      <c r="M9" s="2376"/>
      <c r="N9" s="2376"/>
      <c r="O9" s="2376"/>
    </row>
    <row r="10" spans="1:25" s="1253" customFormat="1" ht="87" customHeight="1">
      <c r="A10" s="2376"/>
      <c r="B10" s="2376"/>
      <c r="C10" s="2376"/>
      <c r="D10" s="2376"/>
      <c r="E10" s="2376"/>
      <c r="F10" s="2376"/>
      <c r="G10" s="2376"/>
      <c r="H10" s="2376"/>
      <c r="I10" s="2376"/>
      <c r="J10" s="2376"/>
      <c r="K10" s="2376"/>
      <c r="L10" s="2376"/>
      <c r="M10" s="2376"/>
      <c r="N10" s="2376"/>
      <c r="O10" s="2376"/>
    </row>
    <row r="11" spans="1:25" s="1252" customFormat="1" ht="20.100000000000001" customHeight="1"/>
    <row r="12" spans="1:25" customFormat="1">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row>
    <row r="13" spans="1:25" customFormat="1" ht="21">
      <c r="A13" s="1255" t="s">
        <v>4</v>
      </c>
      <c r="B13" s="1255"/>
      <c r="C13" s="1256"/>
      <c r="D13" s="1256"/>
      <c r="E13" s="1256"/>
      <c r="F13" s="1256"/>
      <c r="G13" s="1256"/>
      <c r="H13" s="1256"/>
      <c r="I13" s="1256"/>
      <c r="J13" s="1256"/>
      <c r="K13" s="1256"/>
      <c r="L13" s="1256"/>
      <c r="M13" s="1256"/>
      <c r="N13" s="1256"/>
      <c r="O13" s="1256"/>
      <c r="P13" s="1254"/>
      <c r="Q13" s="1254"/>
      <c r="R13" s="1254"/>
      <c r="S13" s="1254"/>
      <c r="T13" s="1254"/>
      <c r="U13" s="1254"/>
      <c r="V13" s="1254"/>
      <c r="W13" s="1254"/>
      <c r="X13" s="1254"/>
      <c r="Y13" s="1254"/>
    </row>
    <row r="14" spans="1:25" customFormat="1">
      <c r="A14" s="1254"/>
      <c r="B14" s="1254"/>
      <c r="C14" s="1254"/>
      <c r="D14" s="1254"/>
      <c r="E14" s="1254"/>
      <c r="F14" s="1254"/>
      <c r="G14" s="1254"/>
      <c r="H14" s="1254"/>
      <c r="I14" s="1254"/>
      <c r="J14" s="1254"/>
      <c r="K14" s="1254"/>
      <c r="L14" s="1254"/>
      <c r="M14" s="1254"/>
      <c r="N14" s="1254"/>
      <c r="O14" s="1254"/>
      <c r="P14" s="1257"/>
      <c r="Q14" s="1257"/>
      <c r="R14" s="1257"/>
      <c r="S14" s="1257"/>
      <c r="T14" s="1257"/>
      <c r="U14" s="1257"/>
      <c r="V14" s="1257"/>
      <c r="W14" s="1257"/>
      <c r="X14" s="1257"/>
      <c r="Y14" s="1254"/>
    </row>
    <row r="15" spans="1:25" s="1265" customFormat="1" ht="22.5" customHeight="1">
      <c r="A15" s="1258"/>
      <c r="B15" s="1259"/>
      <c r="C15" s="1260"/>
      <c r="D15" s="2377" t="s">
        <v>5</v>
      </c>
      <c r="E15" s="2377"/>
      <c r="F15" s="2377"/>
      <c r="G15" s="2377"/>
      <c r="H15" s="1260"/>
      <c r="I15" s="1261" t="s">
        <v>6</v>
      </c>
      <c r="J15" s="1262"/>
      <c r="K15" s="1262"/>
      <c r="L15" s="1262"/>
      <c r="M15" s="1262"/>
      <c r="N15" s="1262"/>
      <c r="O15" s="1260"/>
      <c r="P15" s="1263"/>
      <c r="Q15" s="1263"/>
      <c r="R15" s="1264"/>
      <c r="S15" s="1264"/>
      <c r="T15" s="1264"/>
      <c r="U15" s="1264"/>
      <c r="V15" s="1264"/>
      <c r="W15" s="1263"/>
      <c r="X15" s="1263"/>
      <c r="Y15" s="1263"/>
    </row>
    <row r="16" spans="1:25" s="1274" customFormat="1" ht="129" customHeight="1">
      <c r="A16" s="1266" t="s">
        <v>7</v>
      </c>
      <c r="B16" s="1267" t="s">
        <v>347</v>
      </c>
      <c r="C16" s="1268" t="s">
        <v>9</v>
      </c>
      <c r="D16" s="1269" t="s">
        <v>10</v>
      </c>
      <c r="E16" s="1270" t="s">
        <v>11</v>
      </c>
      <c r="F16" s="1270" t="s">
        <v>12</v>
      </c>
      <c r="G16" s="1271" t="s">
        <v>13</v>
      </c>
      <c r="H16" s="1272" t="s">
        <v>14</v>
      </c>
      <c r="I16" s="1268" t="s">
        <v>15</v>
      </c>
      <c r="J16" s="1268" t="s">
        <v>16</v>
      </c>
      <c r="K16" s="1268" t="s">
        <v>17</v>
      </c>
      <c r="L16" s="1268" t="s">
        <v>348</v>
      </c>
      <c r="M16" s="1272" t="s">
        <v>19</v>
      </c>
      <c r="N16" s="1268" t="s">
        <v>20</v>
      </c>
      <c r="O16" s="1268" t="s">
        <v>21</v>
      </c>
      <c r="P16" s="1273"/>
      <c r="Q16" s="1273"/>
      <c r="R16" s="1273"/>
      <c r="S16" s="1273"/>
      <c r="T16" s="1273"/>
      <c r="U16" s="1273"/>
      <c r="V16" s="1273"/>
      <c r="W16" s="1273"/>
      <c r="X16" s="1273"/>
      <c r="Y16" s="1273"/>
    </row>
    <row r="17" spans="1:25" customFormat="1" ht="15" customHeight="1">
      <c r="A17" s="2372" t="s">
        <v>349</v>
      </c>
      <c r="B17" s="2365"/>
      <c r="C17" s="1275">
        <v>2014</v>
      </c>
      <c r="D17" s="1276"/>
      <c r="E17" s="1275"/>
      <c r="F17" s="1275"/>
      <c r="G17" s="1277">
        <v>0</v>
      </c>
      <c r="H17" s="1275"/>
      <c r="I17" s="1275"/>
      <c r="J17" s="1275"/>
      <c r="K17" s="1275"/>
      <c r="L17" s="1275"/>
      <c r="M17" s="1275"/>
      <c r="N17" s="1275"/>
      <c r="O17" s="1275"/>
      <c r="P17" s="1278"/>
      <c r="Q17" s="1278"/>
      <c r="R17" s="1278"/>
      <c r="S17" s="1278"/>
      <c r="T17" s="1278"/>
      <c r="U17" s="1278"/>
      <c r="V17" s="1278"/>
      <c r="W17" s="1278"/>
      <c r="X17" s="1278"/>
      <c r="Y17" s="1278"/>
    </row>
    <row r="18" spans="1:25" customFormat="1">
      <c r="A18" s="2364"/>
      <c r="B18" s="2365"/>
      <c r="C18" s="1279">
        <v>2015</v>
      </c>
      <c r="D18" s="1280">
        <v>5</v>
      </c>
      <c r="E18" s="1279">
        <v>0</v>
      </c>
      <c r="F18" s="1279">
        <v>0</v>
      </c>
      <c r="G18" s="1277">
        <f>SUM(D18:F18)</f>
        <v>5</v>
      </c>
      <c r="H18" s="1279">
        <v>1</v>
      </c>
      <c r="I18" s="1279">
        <v>0</v>
      </c>
      <c r="J18" s="1279">
        <v>0</v>
      </c>
      <c r="K18" s="1279">
        <v>0</v>
      </c>
      <c r="L18" s="1279">
        <v>0</v>
      </c>
      <c r="M18" s="1279">
        <v>0</v>
      </c>
      <c r="N18" s="1279">
        <v>0</v>
      </c>
      <c r="O18" s="1281">
        <v>4</v>
      </c>
      <c r="P18" s="1278"/>
      <c r="Q18" s="1278"/>
      <c r="R18" s="1278"/>
      <c r="S18" s="1278"/>
      <c r="T18" s="1278"/>
      <c r="U18" s="1278"/>
      <c r="V18" s="1278"/>
      <c r="W18" s="1278"/>
      <c r="X18" s="1278"/>
      <c r="Y18" s="1278"/>
    </row>
    <row r="19" spans="1:25" customFormat="1">
      <c r="A19" s="2364"/>
      <c r="B19" s="2365"/>
      <c r="C19" s="1279">
        <v>2016</v>
      </c>
      <c r="D19" s="1282">
        <v>12</v>
      </c>
      <c r="E19" s="1279">
        <v>2</v>
      </c>
      <c r="F19" s="1279">
        <v>2</v>
      </c>
      <c r="G19" s="1277">
        <f>SUM(D19:F19)</f>
        <v>16</v>
      </c>
      <c r="H19" s="1279">
        <v>0</v>
      </c>
      <c r="I19" s="1279">
        <v>0</v>
      </c>
      <c r="J19" s="1279">
        <v>0</v>
      </c>
      <c r="K19" s="1279">
        <v>1</v>
      </c>
      <c r="L19" s="1279">
        <v>0</v>
      </c>
      <c r="M19" s="1279">
        <v>0</v>
      </c>
      <c r="N19" s="1279">
        <v>0</v>
      </c>
      <c r="O19" s="1283">
        <v>15</v>
      </c>
      <c r="P19" s="1278"/>
      <c r="Q19" s="1278"/>
      <c r="R19" s="1278"/>
      <c r="S19" s="1278"/>
      <c r="T19" s="1278"/>
      <c r="U19" s="1278"/>
      <c r="V19" s="1278"/>
      <c r="W19" s="1278"/>
      <c r="X19" s="1278"/>
      <c r="Y19" s="1278"/>
    </row>
    <row r="20" spans="1:25" customFormat="1">
      <c r="A20" s="2364"/>
      <c r="B20" s="2365"/>
      <c r="C20" s="1279">
        <v>2017</v>
      </c>
      <c r="D20" s="1282">
        <v>7</v>
      </c>
      <c r="E20" s="1279">
        <v>2</v>
      </c>
      <c r="F20" s="1279">
        <v>1</v>
      </c>
      <c r="G20" s="1277">
        <v>10</v>
      </c>
      <c r="H20" s="1279">
        <v>0</v>
      </c>
      <c r="I20" s="1279">
        <v>5</v>
      </c>
      <c r="J20" s="1279">
        <v>0</v>
      </c>
      <c r="K20" s="1279">
        <v>5</v>
      </c>
      <c r="L20" s="1279">
        <v>0</v>
      </c>
      <c r="M20" s="1279">
        <v>0</v>
      </c>
      <c r="N20" s="1279">
        <v>0</v>
      </c>
      <c r="O20" s="1283">
        <v>0</v>
      </c>
      <c r="P20" s="1278"/>
      <c r="Q20" s="1278"/>
      <c r="R20" s="1278"/>
      <c r="S20" s="1278"/>
      <c r="T20" s="1278"/>
      <c r="U20" s="1278"/>
      <c r="V20" s="1278"/>
      <c r="W20" s="1278"/>
      <c r="X20" s="1278"/>
      <c r="Y20" s="1278"/>
    </row>
    <row r="21" spans="1:25" customFormat="1">
      <c r="A21" s="2364"/>
      <c r="B21" s="2365"/>
      <c r="C21" s="1279">
        <v>2018</v>
      </c>
      <c r="D21" s="1282"/>
      <c r="E21" s="1279"/>
      <c r="F21" s="1279"/>
      <c r="G21" s="1277">
        <v>0</v>
      </c>
      <c r="H21" s="1279"/>
      <c r="I21" s="1279"/>
      <c r="J21" s="1279"/>
      <c r="K21" s="1279"/>
      <c r="L21" s="1279"/>
      <c r="M21" s="1279"/>
      <c r="N21" s="1279"/>
      <c r="O21" s="1283"/>
      <c r="P21" s="1278"/>
      <c r="Q21" s="1278"/>
      <c r="R21" s="1278"/>
      <c r="S21" s="1278"/>
      <c r="T21" s="1278"/>
      <c r="U21" s="1278"/>
      <c r="V21" s="1278"/>
      <c r="W21" s="1278"/>
      <c r="X21" s="1278"/>
      <c r="Y21" s="1278"/>
    </row>
    <row r="22" spans="1:25" customFormat="1">
      <c r="A22" s="2364"/>
      <c r="B22" s="2365"/>
      <c r="C22" s="1284">
        <v>2019</v>
      </c>
      <c r="D22" s="1282"/>
      <c r="E22" s="1279"/>
      <c r="F22" s="1279"/>
      <c r="G22" s="1277">
        <v>0</v>
      </c>
      <c r="H22" s="1279"/>
      <c r="I22" s="1279"/>
      <c r="J22" s="1279"/>
      <c r="K22" s="1279"/>
      <c r="L22" s="1279"/>
      <c r="M22" s="1279"/>
      <c r="N22" s="1279"/>
      <c r="O22" s="1283"/>
      <c r="P22" s="1278"/>
      <c r="Q22" s="1278"/>
      <c r="R22" s="1278"/>
      <c r="S22" s="1278"/>
      <c r="T22" s="1278"/>
      <c r="U22" s="1278"/>
      <c r="V22" s="1278"/>
      <c r="W22" s="1278"/>
      <c r="X22" s="1278"/>
      <c r="Y22" s="1278"/>
    </row>
    <row r="23" spans="1:25" customFormat="1">
      <c r="A23" s="2364"/>
      <c r="B23" s="2365"/>
      <c r="C23" s="1279">
        <v>2020</v>
      </c>
      <c r="D23" s="1282"/>
      <c r="E23" s="1279"/>
      <c r="F23" s="1279"/>
      <c r="G23" s="1277">
        <v>0</v>
      </c>
      <c r="H23" s="1279"/>
      <c r="I23" s="1279"/>
      <c r="J23" s="1279"/>
      <c r="K23" s="1279"/>
      <c r="L23" s="1279"/>
      <c r="M23" s="1279"/>
      <c r="N23" s="1279"/>
      <c r="O23" s="1283"/>
      <c r="P23" s="1278"/>
      <c r="Q23" s="1278"/>
      <c r="R23" s="1278"/>
      <c r="S23" s="1278"/>
      <c r="T23" s="1278"/>
      <c r="U23" s="1278"/>
      <c r="V23" s="1278"/>
      <c r="W23" s="1278"/>
      <c r="X23" s="1278"/>
      <c r="Y23" s="1278"/>
    </row>
    <row r="24" spans="1:25" customFormat="1" ht="154.5" customHeight="1">
      <c r="A24" s="2366"/>
      <c r="B24" s="2367"/>
      <c r="C24" s="1285" t="s">
        <v>13</v>
      </c>
      <c r="D24" s="1286">
        <f t="shared" ref="D24:O24" si="0">SUM(D18:D23)</f>
        <v>24</v>
      </c>
      <c r="E24" s="1287">
        <f t="shared" si="0"/>
        <v>4</v>
      </c>
      <c r="F24" s="1287">
        <f t="shared" si="0"/>
        <v>3</v>
      </c>
      <c r="G24" s="1277">
        <f t="shared" si="0"/>
        <v>31</v>
      </c>
      <c r="H24" s="1287">
        <f t="shared" si="0"/>
        <v>1</v>
      </c>
      <c r="I24" s="1288">
        <f t="shared" si="0"/>
        <v>5</v>
      </c>
      <c r="J24" s="1288">
        <f t="shared" si="0"/>
        <v>0</v>
      </c>
      <c r="K24" s="1288">
        <f t="shared" si="0"/>
        <v>6</v>
      </c>
      <c r="L24" s="1288">
        <f t="shared" si="0"/>
        <v>0</v>
      </c>
      <c r="M24" s="1288">
        <f t="shared" si="0"/>
        <v>0</v>
      </c>
      <c r="N24" s="1288">
        <f t="shared" si="0"/>
        <v>0</v>
      </c>
      <c r="O24" s="1287">
        <f t="shared" si="0"/>
        <v>19</v>
      </c>
      <c r="P24" s="1278"/>
      <c r="Q24" s="1278"/>
      <c r="R24" s="1278"/>
      <c r="S24" s="1278"/>
      <c r="T24" s="1278"/>
      <c r="U24" s="1278"/>
      <c r="V24" s="1278"/>
      <c r="W24" s="1278"/>
      <c r="X24" s="1278"/>
      <c r="Y24" s="1278"/>
    </row>
    <row r="25" spans="1:25" customFormat="1">
      <c r="A25" s="1254"/>
      <c r="B25" s="1254"/>
      <c r="C25" s="1289"/>
      <c r="D25" s="1254"/>
      <c r="E25" s="1254"/>
      <c r="F25" s="1254"/>
      <c r="G25" s="1254"/>
      <c r="H25" s="1257"/>
      <c r="I25" s="1257"/>
      <c r="J25" s="1257"/>
      <c r="K25" s="1257"/>
      <c r="L25" s="1257"/>
      <c r="M25" s="1257"/>
      <c r="N25" s="1257"/>
      <c r="O25" s="1257"/>
      <c r="P25" s="1257"/>
      <c r="Q25" s="1257"/>
      <c r="R25" s="1254"/>
      <c r="S25" s="1254"/>
      <c r="T25" s="1254"/>
      <c r="U25" s="1254"/>
      <c r="V25" s="1254"/>
      <c r="W25" s="1254"/>
      <c r="X25" s="1254"/>
      <c r="Y25" s="1254"/>
    </row>
    <row r="26" spans="1:25" s="1265" customFormat="1" ht="30.75" customHeight="1">
      <c r="A26" s="1258"/>
      <c r="B26" s="1259"/>
      <c r="C26" s="1290"/>
      <c r="D26" s="2363" t="s">
        <v>5</v>
      </c>
      <c r="E26" s="2363"/>
      <c r="F26" s="2363"/>
      <c r="G26" s="2363"/>
      <c r="H26" s="1263"/>
      <c r="I26" s="1263"/>
      <c r="J26" s="1264"/>
      <c r="K26" s="1264"/>
      <c r="L26" s="1264"/>
      <c r="M26" s="1264"/>
      <c r="N26" s="1264"/>
      <c r="O26" s="1263"/>
      <c r="P26" s="1263"/>
    </row>
    <row r="27" spans="1:25" s="1274" customFormat="1" ht="93" customHeight="1">
      <c r="A27" s="1291" t="s">
        <v>23</v>
      </c>
      <c r="B27" s="1267" t="s">
        <v>347</v>
      </c>
      <c r="C27" s="1292" t="s">
        <v>9</v>
      </c>
      <c r="D27" s="1270" t="s">
        <v>10</v>
      </c>
      <c r="E27" s="1270" t="s">
        <v>11</v>
      </c>
      <c r="F27" s="1270" t="s">
        <v>12</v>
      </c>
      <c r="G27" s="1293" t="s">
        <v>13</v>
      </c>
      <c r="H27" s="1273"/>
      <c r="I27" s="1273"/>
      <c r="J27" s="1273"/>
      <c r="K27" s="1273"/>
      <c r="L27" s="1273"/>
      <c r="M27" s="1273"/>
      <c r="N27" s="1273"/>
      <c r="O27" s="1273"/>
      <c r="P27" s="1273"/>
      <c r="Q27" s="1265"/>
    </row>
    <row r="28" spans="1:25" customFormat="1" ht="15" customHeight="1">
      <c r="A28" s="2364" t="s">
        <v>350</v>
      </c>
      <c r="B28" s="2365"/>
      <c r="C28" s="1294">
        <v>2014</v>
      </c>
      <c r="D28" s="1275"/>
      <c r="E28" s="1275"/>
      <c r="F28" s="1275"/>
      <c r="G28" s="1287">
        <v>0</v>
      </c>
      <c r="H28" s="1278"/>
      <c r="I28" s="1278"/>
      <c r="J28" s="1278"/>
      <c r="K28" s="1278"/>
      <c r="L28" s="1278"/>
      <c r="M28" s="1278"/>
      <c r="N28" s="1278"/>
      <c r="O28" s="1278"/>
      <c r="P28" s="1278"/>
      <c r="Q28" s="1257"/>
      <c r="R28" s="1254"/>
      <c r="S28" s="1254"/>
      <c r="T28" s="1254"/>
      <c r="U28" s="1254"/>
      <c r="V28" s="1254"/>
      <c r="W28" s="1254"/>
      <c r="X28" s="1254"/>
      <c r="Y28" s="1254"/>
    </row>
    <row r="29" spans="1:25" customFormat="1">
      <c r="A29" s="2364"/>
      <c r="B29" s="2365"/>
      <c r="C29" s="1295">
        <v>2015</v>
      </c>
      <c r="D29" s="1296">
        <v>984</v>
      </c>
      <c r="E29" s="1296">
        <v>0</v>
      </c>
      <c r="F29" s="1296">
        <v>0</v>
      </c>
      <c r="G29" s="1297">
        <f>SUM(D29:F29)</f>
        <v>984</v>
      </c>
      <c r="H29" s="1278"/>
      <c r="I29" s="1278"/>
      <c r="J29" s="1278"/>
      <c r="K29" s="1278"/>
      <c r="L29" s="1278"/>
      <c r="M29" s="1278"/>
      <c r="N29" s="1278"/>
      <c r="O29" s="1278"/>
      <c r="P29" s="1278"/>
      <c r="Q29" s="1257"/>
      <c r="R29" s="1254"/>
      <c r="S29" s="1254"/>
      <c r="T29" s="1254"/>
      <c r="U29" s="1254"/>
      <c r="V29" s="1254"/>
      <c r="W29" s="1254"/>
      <c r="X29" s="1254"/>
      <c r="Y29" s="1254"/>
    </row>
    <row r="30" spans="1:25" customFormat="1">
      <c r="A30" s="2364"/>
      <c r="B30" s="2365"/>
      <c r="C30" s="1295">
        <v>2016</v>
      </c>
      <c r="D30" s="1298">
        <v>12390</v>
      </c>
      <c r="E30" s="1298">
        <v>90000</v>
      </c>
      <c r="F30" s="1298">
        <v>30000</v>
      </c>
      <c r="G30" s="1299">
        <f>SUM(D30:F30)</f>
        <v>132390</v>
      </c>
      <c r="H30" s="1278"/>
      <c r="I30" s="1278"/>
      <c r="J30" s="1278"/>
      <c r="K30" s="1278"/>
      <c r="L30" s="1278"/>
      <c r="M30" s="1278"/>
      <c r="N30" s="1278"/>
      <c r="O30" s="1278"/>
      <c r="P30" s="1278"/>
      <c r="Q30" s="1257"/>
      <c r="R30" s="1254"/>
      <c r="S30" s="1254"/>
      <c r="T30" s="1254"/>
      <c r="U30" s="1254"/>
      <c r="V30" s="1254"/>
      <c r="W30" s="1254"/>
      <c r="X30" s="1254"/>
      <c r="Y30" s="1254"/>
    </row>
    <row r="31" spans="1:25" customFormat="1">
      <c r="A31" s="2364"/>
      <c r="B31" s="2365"/>
      <c r="C31" s="1295">
        <v>2017</v>
      </c>
      <c r="D31" s="1298">
        <v>3850</v>
      </c>
      <c r="E31" s="1298">
        <v>17000</v>
      </c>
      <c r="F31" s="1298">
        <v>12000</v>
      </c>
      <c r="G31" s="1300">
        <v>32850</v>
      </c>
      <c r="H31" s="1278"/>
      <c r="I31" s="1278"/>
      <c r="J31" s="1278"/>
      <c r="K31" s="1278"/>
      <c r="L31" s="1278"/>
      <c r="M31" s="1278"/>
      <c r="N31" s="1278"/>
      <c r="O31" s="1278"/>
      <c r="P31" s="1278"/>
      <c r="Q31" s="1257"/>
      <c r="R31" s="1254"/>
      <c r="S31" s="1254"/>
      <c r="T31" s="1254"/>
      <c r="U31" s="1254"/>
      <c r="V31" s="1254"/>
      <c r="W31" s="1254"/>
      <c r="X31" s="1254"/>
      <c r="Y31" s="1254"/>
    </row>
    <row r="32" spans="1:25" customFormat="1">
      <c r="A32" s="2364"/>
      <c r="B32" s="2365"/>
      <c r="C32" s="1295">
        <v>2018</v>
      </c>
      <c r="D32" s="1301"/>
      <c r="E32" s="1301"/>
      <c r="F32" s="1301"/>
      <c r="G32" s="1299">
        <v>0</v>
      </c>
      <c r="H32" s="1278"/>
      <c r="I32" s="1278"/>
      <c r="J32" s="1278"/>
      <c r="K32" s="1278"/>
      <c r="L32" s="1278"/>
      <c r="M32" s="1278"/>
      <c r="N32" s="1278"/>
      <c r="O32" s="1278"/>
      <c r="P32" s="1278"/>
      <c r="Q32" s="1257"/>
      <c r="R32" s="1254"/>
      <c r="S32" s="1254"/>
      <c r="T32" s="1254"/>
      <c r="U32" s="1254"/>
      <c r="V32" s="1254"/>
      <c r="W32" s="1254"/>
      <c r="X32" s="1254"/>
      <c r="Y32" s="1254"/>
    </row>
    <row r="33" spans="1:17" customFormat="1">
      <c r="A33" s="2364"/>
      <c r="B33" s="2365"/>
      <c r="C33" s="1302">
        <v>2019</v>
      </c>
      <c r="D33" s="1301"/>
      <c r="E33" s="1301"/>
      <c r="F33" s="1301"/>
      <c r="G33" s="1299">
        <v>0</v>
      </c>
      <c r="H33" s="1278"/>
      <c r="I33" s="1278"/>
      <c r="J33" s="1278"/>
      <c r="K33" s="1278"/>
      <c r="L33" s="1278"/>
      <c r="M33" s="1278"/>
      <c r="N33" s="1278"/>
      <c r="O33" s="1278"/>
      <c r="P33" s="1278"/>
      <c r="Q33" s="1257"/>
    </row>
    <row r="34" spans="1:17" customFormat="1">
      <c r="A34" s="2364"/>
      <c r="B34" s="2365"/>
      <c r="C34" s="1295">
        <v>2020</v>
      </c>
      <c r="D34" s="1301"/>
      <c r="E34" s="1301"/>
      <c r="F34" s="1301"/>
      <c r="G34" s="1299">
        <v>0</v>
      </c>
      <c r="H34" s="1278"/>
      <c r="I34" s="1278"/>
      <c r="J34" s="1278"/>
      <c r="K34" s="1278"/>
      <c r="L34" s="1278"/>
      <c r="M34" s="1278"/>
      <c r="N34" s="1278"/>
      <c r="O34" s="1278"/>
      <c r="P34" s="1278"/>
      <c r="Q34" s="1257"/>
    </row>
    <row r="35" spans="1:17" customFormat="1" ht="212.25" customHeight="1">
      <c r="A35" s="2366"/>
      <c r="B35" s="2367"/>
      <c r="C35" s="1303" t="s">
        <v>13</v>
      </c>
      <c r="D35" s="1299">
        <f>SUM(D29:D34)</f>
        <v>17224</v>
      </c>
      <c r="E35" s="1299">
        <f>SUM(E29:E34)</f>
        <v>107000</v>
      </c>
      <c r="F35" s="1299">
        <f>SUM(F29:F34)</f>
        <v>42000</v>
      </c>
      <c r="G35" s="1299">
        <f>SUM(G29:G34)</f>
        <v>166224</v>
      </c>
      <c r="H35" s="1278"/>
      <c r="I35" s="1278"/>
      <c r="J35" s="1278"/>
      <c r="K35" s="1278"/>
      <c r="L35" s="1278"/>
      <c r="M35" s="1278"/>
      <c r="N35" s="1278"/>
      <c r="O35" s="1278"/>
      <c r="P35" s="1278"/>
      <c r="Q35" s="1257"/>
    </row>
    <row r="36" spans="1:17" customFormat="1">
      <c r="A36" s="1304"/>
      <c r="B36" s="1304"/>
      <c r="C36" s="1289"/>
      <c r="D36" s="1254"/>
      <c r="E36" s="1254"/>
      <c r="F36" s="1254"/>
      <c r="G36" s="1254"/>
      <c r="H36" s="1257"/>
      <c r="I36" s="1257"/>
      <c r="J36" s="1257"/>
      <c r="K36" s="1257"/>
      <c r="L36" s="1257"/>
      <c r="M36" s="1257"/>
      <c r="N36" s="1257"/>
      <c r="O36" s="1257"/>
      <c r="P36" s="1257"/>
      <c r="Q36" s="1257"/>
    </row>
    <row r="37" spans="1:17" customFormat="1" ht="21" customHeight="1">
      <c r="A37" s="1305" t="s">
        <v>25</v>
      </c>
      <c r="B37" s="1305"/>
      <c r="C37" s="1306"/>
      <c r="D37" s="1306"/>
      <c r="E37" s="1306"/>
      <c r="F37" s="1278"/>
      <c r="G37" s="1278"/>
      <c r="H37" s="1278"/>
      <c r="I37" s="1307"/>
      <c r="J37" s="1307"/>
      <c r="K37" s="1307"/>
      <c r="L37" s="1254"/>
      <c r="M37" s="1254"/>
      <c r="N37" s="1254"/>
      <c r="O37" s="1254"/>
      <c r="P37" s="1254"/>
      <c r="Q37" s="1254"/>
    </row>
    <row r="38" spans="1:17" customFormat="1" ht="12.75" customHeight="1">
      <c r="A38" s="1254"/>
      <c r="B38" s="1254"/>
      <c r="C38" s="1254"/>
      <c r="D38" s="1254"/>
      <c r="E38" s="1254"/>
      <c r="F38" s="1254"/>
      <c r="G38" s="1278"/>
      <c r="H38" s="1278"/>
      <c r="I38" s="1254"/>
      <c r="J38" s="1254"/>
      <c r="K38" s="1254"/>
      <c r="L38" s="1254"/>
      <c r="M38" s="1254"/>
      <c r="N38" s="1254"/>
      <c r="O38" s="1254"/>
      <c r="P38" s="1254"/>
      <c r="Q38" s="1254"/>
    </row>
    <row r="39" spans="1:17" customFormat="1" ht="88.5" customHeight="1">
      <c r="A39" s="1308" t="s">
        <v>26</v>
      </c>
      <c r="B39" s="1309" t="s">
        <v>347</v>
      </c>
      <c r="C39" s="1310" t="s">
        <v>9</v>
      </c>
      <c r="D39" s="1311" t="s">
        <v>28</v>
      </c>
      <c r="E39" s="1312" t="s">
        <v>29</v>
      </c>
      <c r="F39" s="1313"/>
      <c r="G39" s="1273"/>
      <c r="H39" s="1273"/>
      <c r="I39" s="1254"/>
      <c r="J39" s="1254"/>
      <c r="K39" s="1254"/>
      <c r="L39" s="1254"/>
      <c r="M39" s="1254"/>
      <c r="N39" s="1254"/>
      <c r="O39" s="1254"/>
      <c r="P39" s="1254"/>
      <c r="Q39" s="1254"/>
    </row>
    <row r="40" spans="1:17" customFormat="1">
      <c r="A40" s="2337" t="s">
        <v>351</v>
      </c>
      <c r="B40" s="2337"/>
      <c r="C40" s="1314">
        <v>2014</v>
      </c>
      <c r="D40" s="1276"/>
      <c r="E40" s="1275"/>
      <c r="F40" s="1257"/>
      <c r="G40" s="1278"/>
      <c r="H40" s="1278"/>
      <c r="I40" s="1254"/>
      <c r="J40" s="1254"/>
      <c r="K40" s="1254"/>
      <c r="L40" s="1254"/>
      <c r="M40" s="1254"/>
      <c r="N40" s="1254"/>
      <c r="O40" s="1254"/>
      <c r="P40" s="1254"/>
      <c r="Q40" s="1254"/>
    </row>
    <row r="41" spans="1:17" customFormat="1">
      <c r="A41" s="2337"/>
      <c r="B41" s="2337"/>
      <c r="C41" s="1315">
        <v>2015</v>
      </c>
      <c r="D41" s="1316">
        <v>12550</v>
      </c>
      <c r="E41" s="1296">
        <v>2265</v>
      </c>
      <c r="F41" s="1257"/>
      <c r="G41" s="1278"/>
      <c r="H41" s="1278"/>
      <c r="I41" s="1254"/>
      <c r="J41" s="1254"/>
      <c r="K41" s="1254"/>
      <c r="L41" s="1254"/>
      <c r="M41" s="1254"/>
      <c r="N41" s="1254"/>
      <c r="O41" s="1254"/>
      <c r="P41" s="1254"/>
      <c r="Q41" s="1254"/>
    </row>
    <row r="42" spans="1:17" customFormat="1">
      <c r="A42" s="2337"/>
      <c r="B42" s="2337"/>
      <c r="C42" s="1315">
        <v>2016</v>
      </c>
      <c r="D42" s="1317">
        <v>68992</v>
      </c>
      <c r="E42" s="1318">
        <v>16134</v>
      </c>
      <c r="F42" s="1257"/>
      <c r="G42" s="1278"/>
      <c r="H42" s="1278"/>
      <c r="I42" s="1254"/>
      <c r="J42" s="1254"/>
      <c r="K42" s="1254"/>
      <c r="L42" s="1254"/>
      <c r="M42" s="1254"/>
      <c r="N42" s="1254"/>
      <c r="O42" s="1254"/>
      <c r="P42" s="1254"/>
      <c r="Q42" s="1254"/>
    </row>
    <row r="43" spans="1:17" customFormat="1">
      <c r="A43" s="2337"/>
      <c r="B43" s="2337"/>
      <c r="C43" s="1315">
        <v>2017</v>
      </c>
      <c r="D43" s="1317">
        <v>39655</v>
      </c>
      <c r="E43" s="1318">
        <v>21956</v>
      </c>
      <c r="F43" s="1257"/>
      <c r="G43" s="1278"/>
      <c r="H43" s="1278"/>
      <c r="I43" s="1254"/>
      <c r="J43" s="1254"/>
      <c r="K43" s="1254"/>
      <c r="L43" s="1254"/>
      <c r="M43" s="1254"/>
      <c r="N43" s="1254"/>
      <c r="O43" s="1254"/>
      <c r="P43" s="1254"/>
      <c r="Q43" s="1254"/>
    </row>
    <row r="44" spans="1:17" customFormat="1">
      <c r="A44" s="2337"/>
      <c r="B44" s="2337"/>
      <c r="C44" s="1315">
        <v>2018</v>
      </c>
      <c r="D44" s="1316"/>
      <c r="E44" s="1296"/>
      <c r="F44" s="1257"/>
      <c r="G44" s="1278"/>
      <c r="H44" s="1278"/>
      <c r="I44" s="1254"/>
      <c r="J44" s="1254"/>
      <c r="K44" s="1254"/>
      <c r="L44" s="1254"/>
      <c r="M44" s="1254"/>
      <c r="N44" s="1254"/>
      <c r="O44" s="1254"/>
      <c r="P44" s="1254"/>
      <c r="Q44" s="1254"/>
    </row>
    <row r="45" spans="1:17" customFormat="1">
      <c r="A45" s="2337"/>
      <c r="B45" s="2337"/>
      <c r="C45" s="1315">
        <v>2019</v>
      </c>
      <c r="D45" s="1316"/>
      <c r="E45" s="1296"/>
      <c r="F45" s="1257"/>
      <c r="G45" s="1278"/>
      <c r="H45" s="1278"/>
      <c r="I45" s="1254"/>
      <c r="J45" s="1254"/>
      <c r="K45" s="1254"/>
      <c r="L45" s="1254"/>
      <c r="M45" s="1254"/>
      <c r="N45" s="1254"/>
      <c r="O45" s="1254"/>
      <c r="P45" s="1254"/>
      <c r="Q45" s="1254"/>
    </row>
    <row r="46" spans="1:17" customFormat="1">
      <c r="A46" s="2337"/>
      <c r="B46" s="2337"/>
      <c r="C46" s="1315">
        <v>2020</v>
      </c>
      <c r="D46" s="1316"/>
      <c r="E46" s="1296"/>
      <c r="F46" s="1257"/>
      <c r="G46" s="1278"/>
      <c r="H46" s="1278"/>
      <c r="I46" s="1254"/>
      <c r="J46" s="1254"/>
      <c r="K46" s="1254"/>
      <c r="L46" s="1254"/>
      <c r="M46" s="1254"/>
      <c r="N46" s="1254"/>
      <c r="O46" s="1254"/>
      <c r="P46" s="1254"/>
      <c r="Q46" s="1254"/>
    </row>
    <row r="47" spans="1:17" customFormat="1">
      <c r="A47" s="2337"/>
      <c r="B47" s="2337"/>
      <c r="C47" s="1285" t="s">
        <v>13</v>
      </c>
      <c r="D47" s="1286">
        <f>SUM(D41:D46)</f>
        <v>121197</v>
      </c>
      <c r="E47" s="1287">
        <f>SUM(E41:E46)</f>
        <v>40355</v>
      </c>
      <c r="F47" s="1319"/>
      <c r="G47" s="1278"/>
      <c r="H47" s="1278"/>
      <c r="I47" s="1254"/>
      <c r="J47" s="1254"/>
      <c r="K47" s="1254"/>
      <c r="L47" s="1254"/>
      <c r="M47" s="1254"/>
      <c r="N47" s="1254"/>
      <c r="O47" s="1254"/>
      <c r="P47" s="1254"/>
      <c r="Q47" s="1254"/>
    </row>
    <row r="48" spans="1:17" s="1278" customFormat="1">
      <c r="A48" s="1320"/>
      <c r="B48" s="1321"/>
      <c r="C48" s="1322"/>
    </row>
    <row r="49" spans="1:15" customFormat="1" ht="83.25" customHeight="1">
      <c r="A49" s="1323" t="s">
        <v>32</v>
      </c>
      <c r="B49" s="1309" t="s">
        <v>347</v>
      </c>
      <c r="C49" s="1324" t="s">
        <v>9</v>
      </c>
      <c r="D49" s="1311" t="s">
        <v>34</v>
      </c>
      <c r="E49" s="1312" t="s">
        <v>35</v>
      </c>
      <c r="F49" s="1312" t="s">
        <v>36</v>
      </c>
      <c r="G49" s="1312" t="s">
        <v>37</v>
      </c>
      <c r="H49" s="1312" t="s">
        <v>38</v>
      </c>
      <c r="I49" s="1312" t="s">
        <v>39</v>
      </c>
      <c r="J49" s="1312" t="s">
        <v>40</v>
      </c>
      <c r="K49" s="1312" t="s">
        <v>41</v>
      </c>
      <c r="L49" s="1254"/>
      <c r="M49" s="1254"/>
      <c r="N49" s="1254"/>
      <c r="O49" s="1254"/>
    </row>
    <row r="50" spans="1:15" customFormat="1" ht="17.25" customHeight="1">
      <c r="A50" s="2330" t="s">
        <v>266</v>
      </c>
      <c r="B50" s="2330"/>
      <c r="C50" s="1325" t="s">
        <v>43</v>
      </c>
      <c r="D50" s="1276"/>
      <c r="E50" s="1275"/>
      <c r="F50" s="1275"/>
      <c r="G50" s="1275"/>
      <c r="H50" s="1275"/>
      <c r="I50" s="1275"/>
      <c r="J50" s="1275"/>
      <c r="K50" s="1275"/>
      <c r="L50" s="1254"/>
      <c r="M50" s="1254"/>
      <c r="N50" s="1254"/>
      <c r="O50" s="1254"/>
    </row>
    <row r="51" spans="1:15" customFormat="1" ht="15" customHeight="1">
      <c r="A51" s="2330"/>
      <c r="B51" s="2330"/>
      <c r="C51" s="1315">
        <v>2014</v>
      </c>
      <c r="D51" s="1282"/>
      <c r="E51" s="1279"/>
      <c r="F51" s="1279"/>
      <c r="G51" s="1279"/>
      <c r="H51" s="1279"/>
      <c r="I51" s="1279"/>
      <c r="J51" s="1279"/>
      <c r="K51" s="1279"/>
      <c r="L51" s="1254"/>
      <c r="M51" s="1254"/>
      <c r="N51" s="1254"/>
      <c r="O51" s="1254"/>
    </row>
    <row r="52" spans="1:15" customFormat="1">
      <c r="A52" s="2330"/>
      <c r="B52" s="2330"/>
      <c r="C52" s="1315">
        <v>2015</v>
      </c>
      <c r="D52" s="1282">
        <v>0</v>
      </c>
      <c r="E52" s="1279">
        <v>0</v>
      </c>
      <c r="F52" s="1279">
        <v>0</v>
      </c>
      <c r="G52" s="1279">
        <v>0</v>
      </c>
      <c r="H52" s="1279">
        <v>0</v>
      </c>
      <c r="I52" s="1279">
        <v>0</v>
      </c>
      <c r="J52" s="1279">
        <v>0</v>
      </c>
      <c r="K52" s="1279">
        <v>0</v>
      </c>
      <c r="L52" s="1254"/>
      <c r="M52" s="1254"/>
      <c r="N52" s="1254"/>
      <c r="O52" s="1254"/>
    </row>
    <row r="53" spans="1:15" customFormat="1">
      <c r="A53" s="2330"/>
      <c r="B53" s="2330"/>
      <c r="C53" s="1315">
        <v>2016</v>
      </c>
      <c r="D53" s="1282">
        <v>0</v>
      </c>
      <c r="E53" s="1279">
        <v>0</v>
      </c>
      <c r="F53" s="1279">
        <v>0</v>
      </c>
      <c r="G53" s="1279">
        <v>0</v>
      </c>
      <c r="H53" s="1279">
        <v>0</v>
      </c>
      <c r="I53" s="1279">
        <v>0</v>
      </c>
      <c r="J53" s="1279">
        <v>0</v>
      </c>
      <c r="K53" s="1279">
        <v>0</v>
      </c>
      <c r="L53" s="1254"/>
      <c r="M53" s="1254"/>
      <c r="N53" s="1254"/>
      <c r="O53" s="1254"/>
    </row>
    <row r="54" spans="1:15" customFormat="1">
      <c r="A54" s="2330"/>
      <c r="B54" s="2330"/>
      <c r="C54" s="1315">
        <v>2017</v>
      </c>
      <c r="D54" s="1282"/>
      <c r="E54" s="1279"/>
      <c r="F54" s="1279"/>
      <c r="G54" s="1279"/>
      <c r="H54" s="1279"/>
      <c r="I54" s="1279"/>
      <c r="J54" s="1279"/>
      <c r="K54" s="1279"/>
      <c r="L54" s="1254"/>
      <c r="M54" s="1254"/>
      <c r="N54" s="1254"/>
      <c r="O54" s="1254"/>
    </row>
    <row r="55" spans="1:15" customFormat="1">
      <c r="A55" s="2330"/>
      <c r="B55" s="2330"/>
      <c r="C55" s="1315">
        <v>2018</v>
      </c>
      <c r="D55" s="1282"/>
      <c r="E55" s="1279"/>
      <c r="F55" s="1279"/>
      <c r="G55" s="1279"/>
      <c r="H55" s="1279"/>
      <c r="I55" s="1279"/>
      <c r="J55" s="1279"/>
      <c r="K55" s="1279"/>
      <c r="L55" s="1254"/>
      <c r="M55" s="1254"/>
      <c r="N55" s="1254"/>
      <c r="O55" s="1254"/>
    </row>
    <row r="56" spans="1:15" customFormat="1">
      <c r="A56" s="2330"/>
      <c r="B56" s="2330"/>
      <c r="C56" s="1315">
        <v>2019</v>
      </c>
      <c r="D56" s="1282"/>
      <c r="E56" s="1279"/>
      <c r="F56" s="1279"/>
      <c r="G56" s="1279"/>
      <c r="H56" s="1279"/>
      <c r="I56" s="1279"/>
      <c r="J56" s="1279"/>
      <c r="K56" s="1279"/>
      <c r="L56" s="1254"/>
      <c r="M56" s="1254"/>
      <c r="N56" s="1254"/>
      <c r="O56" s="1254"/>
    </row>
    <row r="57" spans="1:15" customFormat="1">
      <c r="A57" s="2330"/>
      <c r="B57" s="2330"/>
      <c r="C57" s="1315">
        <v>2020</v>
      </c>
      <c r="D57" s="1282"/>
      <c r="E57" s="1279"/>
      <c r="F57" s="1279"/>
      <c r="G57" s="1279"/>
      <c r="H57" s="1279"/>
      <c r="I57" s="1279"/>
      <c r="J57" s="1279"/>
      <c r="K57" s="1326"/>
      <c r="L57" s="1254"/>
      <c r="M57" s="1254"/>
      <c r="N57" s="1254"/>
      <c r="O57" s="1254"/>
    </row>
    <row r="58" spans="1:15" customFormat="1" ht="20.25" customHeight="1">
      <c r="A58" s="2330"/>
      <c r="B58" s="2330"/>
      <c r="C58" s="1285" t="s">
        <v>13</v>
      </c>
      <c r="D58" s="1286">
        <v>0</v>
      </c>
      <c r="E58" s="1287">
        <v>0</v>
      </c>
      <c r="F58" s="1287">
        <v>0</v>
      </c>
      <c r="G58" s="1287">
        <v>0</v>
      </c>
      <c r="H58" s="1287">
        <v>0</v>
      </c>
      <c r="I58" s="1287">
        <v>0</v>
      </c>
      <c r="J58" s="1287">
        <v>0</v>
      </c>
      <c r="K58" s="1287">
        <v>0</v>
      </c>
      <c r="L58" s="1254"/>
      <c r="M58" s="1254"/>
      <c r="N58" s="1254"/>
      <c r="O58" s="1254"/>
    </row>
    <row r="59" spans="1:15" customFormat="1">
      <c r="A59" s="1254"/>
      <c r="B59" s="1254"/>
      <c r="C59" s="1254"/>
      <c r="D59" s="1254"/>
      <c r="E59" s="1254"/>
      <c r="F59" s="1254"/>
      <c r="G59" s="1254"/>
      <c r="H59" s="1254"/>
      <c r="I59" s="1254"/>
      <c r="J59" s="1254"/>
      <c r="K59" s="1254"/>
      <c r="L59" s="1254"/>
      <c r="M59" s="1254"/>
      <c r="N59" s="1254"/>
      <c r="O59" s="1254"/>
    </row>
    <row r="60" spans="1:15" customFormat="1" ht="21" customHeight="1">
      <c r="A60" s="2368" t="s">
        <v>44</v>
      </c>
      <c r="B60" s="1327"/>
      <c r="C60" s="2369" t="s">
        <v>9</v>
      </c>
      <c r="D60" s="2370" t="s">
        <v>45</v>
      </c>
      <c r="E60" s="2371" t="s">
        <v>6</v>
      </c>
      <c r="F60" s="2371"/>
      <c r="G60" s="2371"/>
      <c r="H60" s="2371"/>
      <c r="I60" s="2371"/>
      <c r="J60" s="2371"/>
      <c r="K60" s="2371"/>
      <c r="L60" s="2371"/>
      <c r="M60" s="1254"/>
      <c r="N60" s="1254"/>
      <c r="O60" s="1254"/>
    </row>
    <row r="61" spans="1:15" customFormat="1" ht="115.5" customHeight="1">
      <c r="A61" s="2368"/>
      <c r="B61" s="1309" t="s">
        <v>347</v>
      </c>
      <c r="C61" s="2369"/>
      <c r="D61" s="2370"/>
      <c r="E61" s="1328" t="s">
        <v>14</v>
      </c>
      <c r="F61" s="1329" t="s">
        <v>15</v>
      </c>
      <c r="G61" s="1329" t="s">
        <v>16</v>
      </c>
      <c r="H61" s="1330" t="s">
        <v>17</v>
      </c>
      <c r="I61" s="1330" t="s">
        <v>348</v>
      </c>
      <c r="J61" s="1331" t="s">
        <v>19</v>
      </c>
      <c r="K61" s="1329" t="s">
        <v>20</v>
      </c>
      <c r="L61" s="1329" t="s">
        <v>21</v>
      </c>
      <c r="M61" s="1332"/>
      <c r="N61" s="1257"/>
      <c r="O61" s="1257"/>
    </row>
    <row r="62" spans="1:15" customFormat="1">
      <c r="A62" s="2337" t="s">
        <v>352</v>
      </c>
      <c r="B62" s="2337"/>
      <c r="C62" s="1314">
        <v>2014</v>
      </c>
      <c r="D62" s="1314"/>
      <c r="E62" s="1333"/>
      <c r="F62" s="1334"/>
      <c r="G62" s="1334"/>
      <c r="H62" s="1334"/>
      <c r="I62" s="1334"/>
      <c r="J62" s="1334"/>
      <c r="K62" s="1334"/>
      <c r="L62" s="1275"/>
      <c r="M62" s="1257"/>
      <c r="N62" s="1257"/>
      <c r="O62" s="1257"/>
    </row>
    <row r="63" spans="1:15" customFormat="1">
      <c r="A63" s="2337"/>
      <c r="B63" s="2337"/>
      <c r="C63" s="1315">
        <v>2015</v>
      </c>
      <c r="D63" s="1315">
        <v>3</v>
      </c>
      <c r="E63" s="1335">
        <v>0</v>
      </c>
      <c r="F63" s="1279">
        <v>0</v>
      </c>
      <c r="G63" s="1279">
        <v>0</v>
      </c>
      <c r="H63" s="1279">
        <v>0</v>
      </c>
      <c r="I63" s="1279">
        <v>0</v>
      </c>
      <c r="J63" s="1279">
        <v>0</v>
      </c>
      <c r="K63" s="1279">
        <v>0</v>
      </c>
      <c r="L63" s="1279">
        <v>3</v>
      </c>
      <c r="M63" s="1257"/>
      <c r="N63" s="1257"/>
      <c r="O63" s="1257"/>
    </row>
    <row r="64" spans="1:15" customFormat="1">
      <c r="A64" s="2337"/>
      <c r="B64" s="2337"/>
      <c r="C64" s="1315">
        <v>2016</v>
      </c>
      <c r="D64" s="1336">
        <v>5</v>
      </c>
      <c r="E64" s="1335">
        <v>0</v>
      </c>
      <c r="F64" s="1279">
        <v>0</v>
      </c>
      <c r="G64" s="1279">
        <v>0</v>
      </c>
      <c r="H64" s="1279">
        <v>0</v>
      </c>
      <c r="I64" s="1279">
        <v>0</v>
      </c>
      <c r="J64" s="1279">
        <v>0</v>
      </c>
      <c r="K64" s="1279">
        <v>0</v>
      </c>
      <c r="L64" s="1337">
        <v>5</v>
      </c>
      <c r="M64" s="1257"/>
      <c r="N64" s="1257"/>
      <c r="O64" s="1257"/>
    </row>
    <row r="65" spans="1:20" customFormat="1">
      <c r="A65" s="2337"/>
      <c r="B65" s="2337"/>
      <c r="C65" s="1315">
        <v>2017</v>
      </c>
      <c r="D65" s="1315">
        <v>4</v>
      </c>
      <c r="E65" s="1335">
        <v>2</v>
      </c>
      <c r="F65" s="1279">
        <v>0</v>
      </c>
      <c r="G65" s="1279">
        <v>0</v>
      </c>
      <c r="H65" s="1279">
        <v>1</v>
      </c>
      <c r="I65" s="1279">
        <v>0</v>
      </c>
      <c r="J65" s="1279">
        <v>0</v>
      </c>
      <c r="K65" s="1279">
        <v>0</v>
      </c>
      <c r="L65" s="1279">
        <v>1</v>
      </c>
      <c r="M65" s="1257"/>
      <c r="N65" s="1257"/>
      <c r="O65" s="1257"/>
      <c r="P65" s="1254"/>
      <c r="Q65" s="1254"/>
      <c r="R65" s="1254"/>
      <c r="S65" s="1254"/>
      <c r="T65" s="1254"/>
    </row>
    <row r="66" spans="1:20" customFormat="1">
      <c r="A66" s="2337"/>
      <c r="B66" s="2337"/>
      <c r="C66" s="1315">
        <v>2018</v>
      </c>
      <c r="D66" s="1315"/>
      <c r="E66" s="1335"/>
      <c r="F66" s="1279"/>
      <c r="G66" s="1279"/>
      <c r="H66" s="1279"/>
      <c r="I66" s="1279"/>
      <c r="J66" s="1279"/>
      <c r="K66" s="1279"/>
      <c r="L66" s="1279"/>
      <c r="M66" s="1257"/>
      <c r="N66" s="1257"/>
      <c r="O66" s="1257"/>
      <c r="P66" s="1254"/>
      <c r="Q66" s="1254"/>
      <c r="R66" s="1254"/>
      <c r="S66" s="1254"/>
      <c r="T66" s="1254"/>
    </row>
    <row r="67" spans="1:20" customFormat="1" ht="17.25" customHeight="1">
      <c r="A67" s="2337"/>
      <c r="B67" s="2337"/>
      <c r="C67" s="1315">
        <v>2019</v>
      </c>
      <c r="D67" s="1315"/>
      <c r="E67" s="1335"/>
      <c r="F67" s="1279"/>
      <c r="G67" s="1279"/>
      <c r="H67" s="1279"/>
      <c r="I67" s="1279"/>
      <c r="J67" s="1279"/>
      <c r="K67" s="1279"/>
      <c r="L67" s="1279"/>
      <c r="M67" s="1257"/>
      <c r="N67" s="1257"/>
      <c r="O67" s="1257"/>
      <c r="P67" s="1254"/>
      <c r="Q67" s="1254"/>
      <c r="R67" s="1254"/>
      <c r="S67" s="1254"/>
      <c r="T67" s="1254"/>
    </row>
    <row r="68" spans="1:20" customFormat="1" ht="16.5" customHeight="1">
      <c r="A68" s="2337"/>
      <c r="B68" s="2337"/>
      <c r="C68" s="1315">
        <v>2020</v>
      </c>
      <c r="D68" s="1315"/>
      <c r="E68" s="1335"/>
      <c r="F68" s="1279"/>
      <c r="G68" s="1279"/>
      <c r="H68" s="1279"/>
      <c r="I68" s="1279"/>
      <c r="J68" s="1279"/>
      <c r="K68" s="1279"/>
      <c r="L68" s="1279"/>
      <c r="M68" s="1319"/>
      <c r="N68" s="1319"/>
      <c r="O68" s="1319"/>
      <c r="P68" s="1254"/>
      <c r="Q68" s="1254"/>
      <c r="R68" s="1254"/>
      <c r="S68" s="1254"/>
      <c r="T68" s="1254"/>
    </row>
    <row r="69" spans="1:20" customFormat="1" ht="18" customHeight="1">
      <c r="A69" s="2337"/>
      <c r="B69" s="2337"/>
      <c r="C69" s="1338" t="s">
        <v>13</v>
      </c>
      <c r="D69" s="1339">
        <f t="shared" ref="D69:L69" si="1">SUM(D63:D68)</f>
        <v>12</v>
      </c>
      <c r="E69" s="1340">
        <f t="shared" si="1"/>
        <v>2</v>
      </c>
      <c r="F69" s="1341">
        <f t="shared" si="1"/>
        <v>0</v>
      </c>
      <c r="G69" s="1341">
        <f t="shared" si="1"/>
        <v>0</v>
      </c>
      <c r="H69" s="1341">
        <f t="shared" si="1"/>
        <v>1</v>
      </c>
      <c r="I69" s="1341">
        <f t="shared" si="1"/>
        <v>0</v>
      </c>
      <c r="J69" s="1341">
        <f t="shared" si="1"/>
        <v>0</v>
      </c>
      <c r="K69" s="1341">
        <f t="shared" si="1"/>
        <v>0</v>
      </c>
      <c r="L69" s="1341">
        <f t="shared" si="1"/>
        <v>9</v>
      </c>
      <c r="M69" s="1319"/>
      <c r="N69" s="1319"/>
      <c r="O69" s="1319"/>
      <c r="P69" s="1254"/>
      <c r="Q69" s="1254"/>
      <c r="R69" s="1254"/>
      <c r="S69" s="1254"/>
      <c r="T69" s="1254"/>
    </row>
    <row r="70" spans="1:20" customFormat="1" ht="20.25" customHeight="1">
      <c r="A70" s="1342"/>
      <c r="B70" s="1343"/>
      <c r="C70" s="1344"/>
      <c r="D70" s="1345"/>
      <c r="E70" s="1345"/>
      <c r="F70" s="1345"/>
      <c r="G70" s="1345"/>
      <c r="H70" s="1344"/>
      <c r="I70" s="1346"/>
      <c r="J70" s="1346"/>
      <c r="K70" s="1346"/>
      <c r="L70" s="1346"/>
      <c r="M70" s="1346"/>
      <c r="N70" s="1346"/>
      <c r="O70" s="1346"/>
      <c r="P70" s="1274"/>
      <c r="Q70" s="1274"/>
      <c r="R70" s="1274"/>
      <c r="S70" s="1274"/>
      <c r="T70" s="1274"/>
    </row>
    <row r="71" spans="1:20" customFormat="1" ht="132" customHeight="1">
      <c r="A71" s="1308" t="s">
        <v>47</v>
      </c>
      <c r="B71" s="1309" t="s">
        <v>347</v>
      </c>
      <c r="C71" s="1310" t="s">
        <v>9</v>
      </c>
      <c r="D71" s="1347" t="s">
        <v>49</v>
      </c>
      <c r="E71" s="1347" t="s">
        <v>353</v>
      </c>
      <c r="F71" s="1347" t="s">
        <v>354</v>
      </c>
      <c r="G71" s="1348" t="s">
        <v>52</v>
      </c>
      <c r="H71" s="1349" t="s">
        <v>14</v>
      </c>
      <c r="I71" s="1347" t="s">
        <v>15</v>
      </c>
      <c r="J71" s="1347" t="s">
        <v>16</v>
      </c>
      <c r="K71" s="1347" t="s">
        <v>17</v>
      </c>
      <c r="L71" s="1347" t="s">
        <v>348</v>
      </c>
      <c r="M71" s="1350" t="s">
        <v>19</v>
      </c>
      <c r="N71" s="1347" t="s">
        <v>20</v>
      </c>
      <c r="O71" s="1347" t="s">
        <v>21</v>
      </c>
      <c r="P71" s="1254"/>
      <c r="Q71" s="1254"/>
      <c r="R71" s="1254"/>
      <c r="S71" s="1254"/>
      <c r="T71" s="1254"/>
    </row>
    <row r="72" spans="1:20" customFormat="1" ht="15" customHeight="1">
      <c r="A72" s="2337" t="s">
        <v>355</v>
      </c>
      <c r="B72" s="2337"/>
      <c r="C72" s="1314">
        <v>2014</v>
      </c>
      <c r="D72" s="1314"/>
      <c r="E72" s="1314"/>
      <c r="F72" s="1314"/>
      <c r="G72" s="1351">
        <v>0</v>
      </c>
      <c r="H72" s="1276"/>
      <c r="I72" s="1352"/>
      <c r="J72" s="1334"/>
      <c r="K72" s="1334"/>
      <c r="L72" s="1334"/>
      <c r="M72" s="1334"/>
      <c r="N72" s="1334"/>
      <c r="O72" s="1334"/>
      <c r="P72" s="1254"/>
      <c r="Q72" s="1254"/>
      <c r="R72" s="1254"/>
      <c r="S72" s="1254"/>
      <c r="T72" s="1254"/>
    </row>
    <row r="73" spans="1:20" customFormat="1">
      <c r="A73" s="2337"/>
      <c r="B73" s="2337"/>
      <c r="C73" s="1315">
        <v>2015</v>
      </c>
      <c r="D73" s="1315">
        <v>0</v>
      </c>
      <c r="E73" s="1315">
        <v>0</v>
      </c>
      <c r="F73" s="1315">
        <v>9</v>
      </c>
      <c r="G73" s="1351">
        <f>SUM(D73:F73)</f>
        <v>9</v>
      </c>
      <c r="H73" s="1282">
        <v>0</v>
      </c>
      <c r="I73" s="1282">
        <v>0</v>
      </c>
      <c r="J73" s="1279">
        <v>0</v>
      </c>
      <c r="K73" s="1279">
        <v>0</v>
      </c>
      <c r="L73" s="1279">
        <v>0</v>
      </c>
      <c r="M73" s="1279">
        <v>0</v>
      </c>
      <c r="N73" s="1279">
        <v>0</v>
      </c>
      <c r="O73" s="1279">
        <v>9</v>
      </c>
      <c r="P73" s="1254"/>
      <c r="Q73" s="1254"/>
      <c r="R73" s="1254"/>
      <c r="S73" s="1254"/>
      <c r="T73" s="1254"/>
    </row>
    <row r="74" spans="1:20" customFormat="1">
      <c r="A74" s="2337"/>
      <c r="B74" s="2337"/>
      <c r="C74" s="1315">
        <v>2016</v>
      </c>
      <c r="D74" s="1315">
        <v>0</v>
      </c>
      <c r="E74" s="1315">
        <v>2</v>
      </c>
      <c r="F74" s="1315">
        <v>1</v>
      </c>
      <c r="G74" s="1351">
        <f>SUM(D74,E74,F74)</f>
        <v>3</v>
      </c>
      <c r="H74" s="1282">
        <v>0</v>
      </c>
      <c r="I74" s="1282">
        <v>0</v>
      </c>
      <c r="J74" s="1279">
        <v>0</v>
      </c>
      <c r="K74" s="1279">
        <v>0</v>
      </c>
      <c r="L74" s="1279">
        <v>0</v>
      </c>
      <c r="M74" s="1279">
        <v>0</v>
      </c>
      <c r="N74" s="1279">
        <v>0</v>
      </c>
      <c r="O74" s="1279">
        <v>3</v>
      </c>
      <c r="P74" s="1254"/>
      <c r="Q74" s="1254"/>
      <c r="R74" s="1254"/>
      <c r="S74" s="1254"/>
      <c r="T74" s="1254"/>
    </row>
    <row r="75" spans="1:20" customFormat="1">
      <c r="A75" s="2337"/>
      <c r="B75" s="2337"/>
      <c r="C75" s="1315">
        <v>2017</v>
      </c>
      <c r="D75" s="1315">
        <v>0</v>
      </c>
      <c r="E75" s="1315">
        <v>3</v>
      </c>
      <c r="F75" s="1315">
        <v>1</v>
      </c>
      <c r="G75" s="1351">
        <v>4</v>
      </c>
      <c r="H75" s="1282">
        <v>0</v>
      </c>
      <c r="I75" s="1282">
        <v>0</v>
      </c>
      <c r="J75" s="1279">
        <v>0</v>
      </c>
      <c r="K75" s="1279">
        <v>3</v>
      </c>
      <c r="L75" s="1279">
        <v>0</v>
      </c>
      <c r="M75" s="1279">
        <v>0</v>
      </c>
      <c r="N75" s="1279">
        <v>0</v>
      </c>
      <c r="O75" s="1279">
        <v>1</v>
      </c>
      <c r="P75" s="1254"/>
      <c r="Q75" s="1254"/>
      <c r="R75" s="1254"/>
      <c r="S75" s="1254"/>
      <c r="T75" s="1254"/>
    </row>
    <row r="76" spans="1:20" customFormat="1">
      <c r="A76" s="2337"/>
      <c r="B76" s="2337"/>
      <c r="C76" s="1315">
        <v>2018</v>
      </c>
      <c r="D76" s="1315"/>
      <c r="E76" s="1315"/>
      <c r="F76" s="1315"/>
      <c r="G76" s="1351">
        <v>0</v>
      </c>
      <c r="H76" s="1282"/>
      <c r="I76" s="1282"/>
      <c r="J76" s="1279"/>
      <c r="K76" s="1279"/>
      <c r="L76" s="1279"/>
      <c r="M76" s="1279"/>
      <c r="N76" s="1279"/>
      <c r="O76" s="1279"/>
      <c r="P76" s="1254"/>
      <c r="Q76" s="1254"/>
      <c r="R76" s="1254"/>
      <c r="S76" s="1254"/>
      <c r="T76" s="1254"/>
    </row>
    <row r="77" spans="1:20" customFormat="1" ht="15.75" customHeight="1">
      <c r="A77" s="2337"/>
      <c r="B77" s="2337"/>
      <c r="C77" s="1315">
        <v>2019</v>
      </c>
      <c r="D77" s="1315"/>
      <c r="E77" s="1315"/>
      <c r="F77" s="1315"/>
      <c r="G77" s="1351">
        <v>0</v>
      </c>
      <c r="H77" s="1282"/>
      <c r="I77" s="1282"/>
      <c r="J77" s="1279"/>
      <c r="K77" s="1279"/>
      <c r="L77" s="1279"/>
      <c r="M77" s="1279"/>
      <c r="N77" s="1279"/>
      <c r="O77" s="1279"/>
      <c r="P77" s="1254"/>
      <c r="Q77" s="1254"/>
      <c r="R77" s="1254"/>
      <c r="S77" s="1254"/>
      <c r="T77" s="1254"/>
    </row>
    <row r="78" spans="1:20" customFormat="1" ht="17.25" customHeight="1">
      <c r="A78" s="2337"/>
      <c r="B78" s="2337"/>
      <c r="C78" s="1315">
        <v>2020</v>
      </c>
      <c r="D78" s="1315"/>
      <c r="E78" s="1315"/>
      <c r="F78" s="1315"/>
      <c r="G78" s="1351">
        <v>0</v>
      </c>
      <c r="H78" s="1282"/>
      <c r="I78" s="1282"/>
      <c r="J78" s="1279"/>
      <c r="K78" s="1279"/>
      <c r="L78" s="1279"/>
      <c r="M78" s="1279"/>
      <c r="N78" s="1279"/>
      <c r="O78" s="1279"/>
      <c r="P78" s="1254"/>
      <c r="Q78" s="1254"/>
      <c r="R78" s="1254"/>
      <c r="S78" s="1254"/>
      <c r="T78" s="1254"/>
    </row>
    <row r="79" spans="1:20" customFormat="1" ht="20.25" customHeight="1">
      <c r="A79" s="2337"/>
      <c r="B79" s="2337"/>
      <c r="C79" s="1338" t="s">
        <v>13</v>
      </c>
      <c r="D79" s="1339">
        <f>SUM(D73:D78)</f>
        <v>0</v>
      </c>
      <c r="E79" s="1339">
        <f>SUM(E73:E78)</f>
        <v>5</v>
      </c>
      <c r="F79" s="1339">
        <f>SUM(F73:F78)</f>
        <v>11</v>
      </c>
      <c r="G79" s="1353">
        <f>SUM(G72:G78)</f>
        <v>16</v>
      </c>
      <c r="H79" s="1354">
        <f t="shared" ref="H79:O79" si="2">SUM(H73:H78)</f>
        <v>0</v>
      </c>
      <c r="I79" s="1355">
        <f t="shared" si="2"/>
        <v>0</v>
      </c>
      <c r="J79" s="1341">
        <f t="shared" si="2"/>
        <v>0</v>
      </c>
      <c r="K79" s="1341">
        <f t="shared" si="2"/>
        <v>3</v>
      </c>
      <c r="L79" s="1341">
        <f t="shared" si="2"/>
        <v>0</v>
      </c>
      <c r="M79" s="1341">
        <f t="shared" si="2"/>
        <v>0</v>
      </c>
      <c r="N79" s="1341">
        <f t="shared" si="2"/>
        <v>0</v>
      </c>
      <c r="O79" s="1341">
        <f t="shared" si="2"/>
        <v>13</v>
      </c>
      <c r="P79" s="1254"/>
      <c r="Q79" s="1254"/>
      <c r="R79" s="1254"/>
      <c r="S79" s="1254"/>
      <c r="T79" s="1254"/>
    </row>
    <row r="80" spans="1:20" customFormat="1">
      <c r="A80" s="1254"/>
      <c r="B80" s="1254"/>
      <c r="C80" s="1254"/>
      <c r="D80" s="1254"/>
      <c r="E80" s="1254"/>
      <c r="F80" s="1254"/>
      <c r="G80" s="1254"/>
      <c r="H80" s="1254"/>
      <c r="I80" s="1254"/>
      <c r="J80" s="1254"/>
      <c r="K80" s="1254"/>
      <c r="L80" s="1254"/>
      <c r="M80" s="1254"/>
      <c r="N80" s="1254"/>
      <c r="O80" s="1254"/>
      <c r="P80" s="1254"/>
      <c r="Q80" s="1254"/>
      <c r="R80" s="1254"/>
      <c r="S80" s="1254"/>
      <c r="T80" s="1254"/>
    </row>
    <row r="81" spans="1:16" customFormat="1" ht="36.75" customHeight="1">
      <c r="A81" s="1356"/>
      <c r="B81" s="1343"/>
      <c r="C81" s="1357"/>
      <c r="D81" s="1358"/>
      <c r="E81" s="1319"/>
      <c r="F81" s="1319"/>
      <c r="G81" s="1319"/>
      <c r="H81" s="1319"/>
      <c r="I81" s="1319"/>
      <c r="J81" s="1319"/>
      <c r="K81" s="1319"/>
      <c r="L81" s="1254"/>
      <c r="M81" s="1254"/>
      <c r="N81" s="1254"/>
      <c r="O81" s="1254"/>
      <c r="P81" s="1254"/>
    </row>
    <row r="82" spans="1:16" customFormat="1" ht="28.5" customHeight="1">
      <c r="A82" s="1359" t="s">
        <v>55</v>
      </c>
      <c r="B82" s="1359"/>
      <c r="C82" s="1360"/>
      <c r="D82" s="1360"/>
      <c r="E82" s="1360"/>
      <c r="F82" s="1360"/>
      <c r="G82" s="1360"/>
      <c r="H82" s="1360"/>
      <c r="I82" s="1360"/>
      <c r="J82" s="1360"/>
      <c r="K82" s="1360"/>
      <c r="L82" s="1361"/>
      <c r="M82" s="1254"/>
      <c r="N82" s="1254"/>
      <c r="O82" s="1254"/>
      <c r="P82" s="1254"/>
    </row>
    <row r="83" spans="1:16" customFormat="1" ht="14.25" customHeight="1">
      <c r="A83" s="1362"/>
      <c r="B83" s="1362"/>
      <c r="C83" s="1254"/>
      <c r="D83" s="1254"/>
      <c r="E83" s="1254"/>
      <c r="F83" s="1254"/>
      <c r="G83" s="1254"/>
      <c r="H83" s="1254"/>
      <c r="I83" s="1254"/>
      <c r="J83" s="1254"/>
      <c r="K83" s="1254"/>
      <c r="L83" s="1254"/>
      <c r="M83" s="1254"/>
      <c r="N83" s="1254"/>
      <c r="O83" s="1254"/>
      <c r="P83" s="1254"/>
    </row>
    <row r="84" spans="1:16" s="1274" customFormat="1" ht="128.25" customHeight="1">
      <c r="A84" s="1363" t="s">
        <v>356</v>
      </c>
      <c r="B84" s="1364" t="s">
        <v>357</v>
      </c>
      <c r="C84" s="1365" t="s">
        <v>9</v>
      </c>
      <c r="D84" s="1366" t="s">
        <v>358</v>
      </c>
      <c r="E84" s="1367" t="s">
        <v>359</v>
      </c>
      <c r="F84" s="1365" t="s">
        <v>60</v>
      </c>
      <c r="G84" s="1365" t="s">
        <v>61</v>
      </c>
      <c r="H84" s="1365" t="s">
        <v>62</v>
      </c>
      <c r="I84" s="1365" t="s">
        <v>63</v>
      </c>
      <c r="J84" s="1365" t="s">
        <v>64</v>
      </c>
      <c r="K84" s="1365" t="s">
        <v>65</v>
      </c>
    </row>
    <row r="85" spans="1:16" customFormat="1" ht="15" customHeight="1">
      <c r="A85" s="2362" t="s">
        <v>360</v>
      </c>
      <c r="B85" s="2362"/>
      <c r="C85" s="1314">
        <v>2014</v>
      </c>
      <c r="D85" s="1368"/>
      <c r="E85" s="1369"/>
      <c r="F85" s="1275"/>
      <c r="G85" s="1275"/>
      <c r="H85" s="1275"/>
      <c r="I85" s="1275"/>
      <c r="J85" s="1275"/>
      <c r="K85" s="1275"/>
      <c r="L85" s="1254"/>
      <c r="M85" s="1254"/>
      <c r="N85" s="1254"/>
      <c r="O85" s="1254"/>
      <c r="P85" s="1254"/>
    </row>
    <row r="86" spans="1:16" customFormat="1">
      <c r="A86" s="2362"/>
      <c r="B86" s="2362"/>
      <c r="C86" s="1315">
        <v>2015</v>
      </c>
      <c r="D86" s="1370">
        <v>0</v>
      </c>
      <c r="E86" s="1335">
        <v>0</v>
      </c>
      <c r="F86" s="1279">
        <v>0</v>
      </c>
      <c r="G86" s="1279">
        <v>0</v>
      </c>
      <c r="H86" s="1279">
        <v>0</v>
      </c>
      <c r="I86" s="1279">
        <v>0</v>
      </c>
      <c r="J86" s="1279">
        <v>0</v>
      </c>
      <c r="K86" s="1279">
        <v>0</v>
      </c>
      <c r="L86" s="1254"/>
      <c r="M86" s="1254"/>
      <c r="N86" s="1254"/>
      <c r="O86" s="1254"/>
      <c r="P86" s="1254"/>
    </row>
    <row r="87" spans="1:16" customFormat="1">
      <c r="A87" s="2362"/>
      <c r="B87" s="2362"/>
      <c r="C87" s="1315">
        <v>2016</v>
      </c>
      <c r="D87" s="1370">
        <v>3</v>
      </c>
      <c r="E87" s="1371">
        <v>0</v>
      </c>
      <c r="F87" s="1337">
        <v>0</v>
      </c>
      <c r="G87" s="1337">
        <v>0</v>
      </c>
      <c r="H87" s="1337">
        <v>0</v>
      </c>
      <c r="I87" s="1337">
        <v>0</v>
      </c>
      <c r="J87" s="1337">
        <v>0</v>
      </c>
      <c r="K87" s="1337">
        <v>3</v>
      </c>
      <c r="L87" s="1254"/>
      <c r="M87" s="1254"/>
      <c r="N87" s="1254"/>
      <c r="O87" s="1254"/>
      <c r="P87" s="1254"/>
    </row>
    <row r="88" spans="1:16" customFormat="1">
      <c r="A88" s="2362"/>
      <c r="B88" s="2362"/>
      <c r="C88" s="1315">
        <v>2017</v>
      </c>
      <c r="D88" s="1370">
        <v>2</v>
      </c>
      <c r="E88" s="1335">
        <v>1</v>
      </c>
      <c r="F88" s="1279">
        <v>1</v>
      </c>
      <c r="G88" s="1279">
        <v>0</v>
      </c>
      <c r="H88" s="1279">
        <v>0</v>
      </c>
      <c r="I88" s="1279">
        <v>0</v>
      </c>
      <c r="J88" s="1279">
        <v>0</v>
      </c>
      <c r="K88" s="1279">
        <v>0</v>
      </c>
      <c r="L88" s="1254"/>
      <c r="M88" s="1254"/>
      <c r="N88" s="1254"/>
      <c r="O88" s="1254"/>
      <c r="P88" s="1254"/>
    </row>
    <row r="89" spans="1:16" customFormat="1">
      <c r="A89" s="2362"/>
      <c r="B89" s="2362"/>
      <c r="C89" s="1315">
        <v>2018</v>
      </c>
      <c r="D89" s="1370"/>
      <c r="E89" s="1335"/>
      <c r="F89" s="1279"/>
      <c r="G89" s="1279"/>
      <c r="H89" s="1279"/>
      <c r="I89" s="1279"/>
      <c r="J89" s="1279"/>
      <c r="K89" s="1279"/>
      <c r="L89" s="1254"/>
      <c r="M89" s="1254"/>
      <c r="N89" s="1254"/>
      <c r="O89" s="1254"/>
      <c r="P89" s="1254"/>
    </row>
    <row r="90" spans="1:16" customFormat="1">
      <c r="A90" s="2362"/>
      <c r="B90" s="2362"/>
      <c r="C90" s="1315">
        <v>2019</v>
      </c>
      <c r="D90" s="1370"/>
      <c r="E90" s="1335"/>
      <c r="F90" s="1279"/>
      <c r="G90" s="1279"/>
      <c r="H90" s="1279"/>
      <c r="I90" s="1279"/>
      <c r="J90" s="1279"/>
      <c r="K90" s="1279"/>
      <c r="L90" s="1254"/>
      <c r="M90" s="1254"/>
      <c r="N90" s="1254"/>
      <c r="O90" s="1254"/>
      <c r="P90" s="1254"/>
    </row>
    <row r="91" spans="1:16" customFormat="1">
      <c r="A91" s="2362"/>
      <c r="B91" s="2362"/>
      <c r="C91" s="1315">
        <v>2020</v>
      </c>
      <c r="D91" s="1370"/>
      <c r="E91" s="1335"/>
      <c r="F91" s="1279"/>
      <c r="G91" s="1279"/>
      <c r="H91" s="1279"/>
      <c r="I91" s="1279"/>
      <c r="J91" s="1279"/>
      <c r="K91" s="1279"/>
      <c r="L91" s="1254"/>
      <c r="M91" s="1254"/>
      <c r="N91" s="1254"/>
      <c r="O91" s="1254"/>
      <c r="P91" s="1254"/>
    </row>
    <row r="92" spans="1:16" customFormat="1" ht="18" customHeight="1">
      <c r="A92" s="2362"/>
      <c r="B92" s="2362"/>
      <c r="C92" s="1338" t="s">
        <v>13</v>
      </c>
      <c r="D92" s="1372">
        <v>5</v>
      </c>
      <c r="E92" s="1340">
        <v>1</v>
      </c>
      <c r="F92" s="1341">
        <v>1</v>
      </c>
      <c r="G92" s="1341">
        <v>0</v>
      </c>
      <c r="H92" s="1341">
        <v>0</v>
      </c>
      <c r="I92" s="1341">
        <v>0</v>
      </c>
      <c r="J92" s="1341">
        <v>0</v>
      </c>
      <c r="K92" s="1341">
        <v>0</v>
      </c>
      <c r="L92" s="1254"/>
      <c r="M92" s="1254"/>
      <c r="N92" s="1254"/>
      <c r="O92" s="1254"/>
      <c r="P92" s="1254"/>
    </row>
    <row r="93" spans="1:16" customFormat="1" ht="20.25" customHeight="1">
      <c r="A93" s="1254"/>
      <c r="B93" s="1254"/>
      <c r="C93" s="1254"/>
      <c r="D93" s="1254"/>
      <c r="E93" s="1254"/>
      <c r="F93" s="1254"/>
      <c r="G93" s="1254"/>
      <c r="H93" s="1254"/>
      <c r="I93" s="1254"/>
      <c r="J93" s="1254"/>
      <c r="K93" s="1254"/>
      <c r="L93" s="1254"/>
      <c r="M93" s="1254"/>
      <c r="N93" s="1254"/>
      <c r="O93" s="1254"/>
      <c r="P93" s="1254"/>
    </row>
    <row r="94" spans="1:16" customFormat="1" ht="21">
      <c r="A94" s="1373" t="s">
        <v>67</v>
      </c>
      <c r="B94" s="1373"/>
      <c r="C94" s="1374"/>
      <c r="D94" s="1374"/>
      <c r="E94" s="1374"/>
      <c r="F94" s="1374"/>
      <c r="G94" s="1374"/>
      <c r="H94" s="1374"/>
      <c r="I94" s="1374"/>
      <c r="J94" s="1374"/>
      <c r="K94" s="1374"/>
      <c r="L94" s="1374"/>
      <c r="M94" s="1374"/>
      <c r="N94" s="1375"/>
      <c r="O94" s="1375"/>
      <c r="P94" s="1375"/>
    </row>
    <row r="95" spans="1:16" s="1307" customFormat="1" ht="15" customHeight="1">
      <c r="A95" s="1376"/>
      <c r="B95" s="1376"/>
    </row>
    <row r="96" spans="1:16" customFormat="1" ht="29.25" customHeight="1">
      <c r="A96" s="2352" t="s">
        <v>68</v>
      </c>
      <c r="B96" s="2353" t="s">
        <v>361</v>
      </c>
      <c r="C96" s="2361" t="s">
        <v>9</v>
      </c>
      <c r="D96" s="2354" t="s">
        <v>70</v>
      </c>
      <c r="E96" s="2354"/>
      <c r="F96" s="2359" t="s">
        <v>71</v>
      </c>
      <c r="G96" s="2359"/>
      <c r="H96" s="2359"/>
      <c r="I96" s="2359"/>
      <c r="J96" s="2359"/>
      <c r="K96" s="2359"/>
      <c r="L96" s="2359"/>
      <c r="M96" s="2359"/>
      <c r="N96" s="1377"/>
      <c r="O96" s="1377"/>
      <c r="P96" s="1377"/>
    </row>
    <row r="97" spans="1:16" customFormat="1" ht="100.5" customHeight="1">
      <c r="A97" s="2352"/>
      <c r="B97" s="2353"/>
      <c r="C97" s="2361"/>
      <c r="D97" s="1378" t="s">
        <v>72</v>
      </c>
      <c r="E97" s="1379" t="s">
        <v>73</v>
      </c>
      <c r="F97" s="1380" t="s">
        <v>14</v>
      </c>
      <c r="G97" s="1381" t="s">
        <v>74</v>
      </c>
      <c r="H97" s="1382" t="s">
        <v>61</v>
      </c>
      <c r="I97" s="1383" t="s">
        <v>62</v>
      </c>
      <c r="J97" s="1383" t="s">
        <v>63</v>
      </c>
      <c r="K97" s="1384" t="s">
        <v>75</v>
      </c>
      <c r="L97" s="1382" t="s">
        <v>64</v>
      </c>
      <c r="M97" s="1382" t="s">
        <v>65</v>
      </c>
      <c r="N97" s="1377"/>
      <c r="O97" s="1377"/>
      <c r="P97" s="1377"/>
    </row>
    <row r="98" spans="1:16" customFormat="1" ht="17.25" customHeight="1">
      <c r="A98" s="2360" t="s">
        <v>362</v>
      </c>
      <c r="B98" s="2337"/>
      <c r="C98" s="1314">
        <v>2014</v>
      </c>
      <c r="D98" s="1276"/>
      <c r="E98" s="1275"/>
      <c r="F98" s="1385"/>
      <c r="G98" s="1314"/>
      <c r="H98" s="1314"/>
      <c r="I98" s="1314"/>
      <c r="J98" s="1314"/>
      <c r="K98" s="1314"/>
      <c r="L98" s="1314"/>
      <c r="M98" s="1314"/>
      <c r="N98" s="1377"/>
      <c r="O98" s="1377"/>
      <c r="P98" s="1377"/>
    </row>
    <row r="99" spans="1:16" customFormat="1" ht="16.5" customHeight="1">
      <c r="A99" s="2337"/>
      <c r="B99" s="2337"/>
      <c r="C99" s="1315">
        <v>2015</v>
      </c>
      <c r="D99" s="1282">
        <v>1</v>
      </c>
      <c r="E99" s="1386">
        <v>3</v>
      </c>
      <c r="F99" s="1387">
        <v>0</v>
      </c>
      <c r="G99" s="1315">
        <v>0</v>
      </c>
      <c r="H99" s="1315">
        <v>0</v>
      </c>
      <c r="I99" s="1315">
        <v>0</v>
      </c>
      <c r="J99" s="1315">
        <v>0</v>
      </c>
      <c r="K99" s="1315">
        <v>0</v>
      </c>
      <c r="L99" s="1315">
        <v>0</v>
      </c>
      <c r="M99" s="1315">
        <v>1</v>
      </c>
      <c r="N99" s="1377"/>
      <c r="O99" s="1377"/>
      <c r="P99" s="1377"/>
    </row>
    <row r="100" spans="1:16" customFormat="1" ht="16.5" customHeight="1">
      <c r="A100" s="2337"/>
      <c r="B100" s="2337"/>
      <c r="C100" s="1315">
        <v>2016</v>
      </c>
      <c r="D100" s="1282">
        <v>1</v>
      </c>
      <c r="E100" s="1279">
        <v>10</v>
      </c>
      <c r="F100" s="1387">
        <v>0</v>
      </c>
      <c r="G100" s="1315">
        <v>0</v>
      </c>
      <c r="H100" s="1315">
        <v>0</v>
      </c>
      <c r="I100" s="1315">
        <v>0</v>
      </c>
      <c r="J100" s="1315">
        <v>0</v>
      </c>
      <c r="K100" s="1315">
        <v>0</v>
      </c>
      <c r="L100" s="1315">
        <v>0</v>
      </c>
      <c r="M100" s="1315">
        <v>1</v>
      </c>
      <c r="N100" s="1377"/>
      <c r="O100" s="1377"/>
      <c r="P100" s="1377"/>
    </row>
    <row r="101" spans="1:16" customFormat="1" ht="16.5" customHeight="1">
      <c r="A101" s="2337"/>
      <c r="B101" s="2337"/>
      <c r="C101" s="1315">
        <v>2017</v>
      </c>
      <c r="D101" s="1282">
        <v>1</v>
      </c>
      <c r="E101" s="1279">
        <v>12</v>
      </c>
      <c r="F101" s="1387">
        <v>0</v>
      </c>
      <c r="G101" s="1315">
        <v>0</v>
      </c>
      <c r="H101" s="1315">
        <v>0</v>
      </c>
      <c r="I101" s="1315">
        <v>0</v>
      </c>
      <c r="J101" s="1315">
        <v>0</v>
      </c>
      <c r="K101" s="1315">
        <v>0</v>
      </c>
      <c r="L101" s="1315">
        <v>0</v>
      </c>
      <c r="M101" s="1315">
        <v>1</v>
      </c>
      <c r="N101" s="1377"/>
      <c r="O101" s="1377"/>
      <c r="P101" s="1377"/>
    </row>
    <row r="102" spans="1:16" customFormat="1" ht="15.75" customHeight="1">
      <c r="A102" s="2337"/>
      <c r="B102" s="2337"/>
      <c r="C102" s="1315">
        <v>2018</v>
      </c>
      <c r="D102" s="1282"/>
      <c r="E102" s="1279"/>
      <c r="F102" s="1387"/>
      <c r="G102" s="1315"/>
      <c r="H102" s="1315"/>
      <c r="I102" s="1315"/>
      <c r="J102" s="1315"/>
      <c r="K102" s="1315"/>
      <c r="L102" s="1315"/>
      <c r="M102" s="1315"/>
      <c r="N102" s="1377"/>
      <c r="O102" s="1377"/>
      <c r="P102" s="1377"/>
    </row>
    <row r="103" spans="1:16" customFormat="1" ht="14.25" customHeight="1">
      <c r="A103" s="2337"/>
      <c r="B103" s="2337"/>
      <c r="C103" s="1315">
        <v>2019</v>
      </c>
      <c r="D103" s="1282"/>
      <c r="E103" s="1279"/>
      <c r="F103" s="1387"/>
      <c r="G103" s="1315"/>
      <c r="H103" s="1315"/>
      <c r="I103" s="1315"/>
      <c r="J103" s="1315"/>
      <c r="K103" s="1315"/>
      <c r="L103" s="1315"/>
      <c r="M103" s="1315"/>
      <c r="N103" s="1377"/>
      <c r="O103" s="1377"/>
      <c r="P103" s="1377"/>
    </row>
    <row r="104" spans="1:16" customFormat="1" ht="14.25" customHeight="1">
      <c r="A104" s="2337"/>
      <c r="B104" s="2337"/>
      <c r="C104" s="1315">
        <v>2020</v>
      </c>
      <c r="D104" s="1282"/>
      <c r="E104" s="1279"/>
      <c r="F104" s="1387"/>
      <c r="G104" s="1315"/>
      <c r="H104" s="1315"/>
      <c r="I104" s="1315"/>
      <c r="J104" s="1315"/>
      <c r="K104" s="1315"/>
      <c r="L104" s="1315"/>
      <c r="M104" s="1315"/>
      <c r="N104" s="1377"/>
      <c r="O104" s="1377"/>
      <c r="P104" s="1377"/>
    </row>
    <row r="105" spans="1:16" customFormat="1" ht="19.5" customHeight="1">
      <c r="A105" s="2337"/>
      <c r="B105" s="2337"/>
      <c r="C105" s="1338" t="s">
        <v>13</v>
      </c>
      <c r="D105" s="1355">
        <f>SUM(D99:D104)</f>
        <v>3</v>
      </c>
      <c r="E105" s="1341">
        <f>SUM(E99:E104)</f>
        <v>25</v>
      </c>
      <c r="F105" s="1388">
        <v>0</v>
      </c>
      <c r="G105" s="1389">
        <v>0</v>
      </c>
      <c r="H105" s="1389">
        <v>0</v>
      </c>
      <c r="I105" s="1389">
        <v>0</v>
      </c>
      <c r="J105" s="1389">
        <v>0</v>
      </c>
      <c r="K105" s="1389">
        <v>0</v>
      </c>
      <c r="L105" s="1389">
        <v>0</v>
      </c>
      <c r="M105" s="1389">
        <f>SUM(M99:M104)</f>
        <v>3</v>
      </c>
      <c r="N105" s="1377"/>
      <c r="O105" s="1377"/>
      <c r="P105" s="1377"/>
    </row>
    <row r="106" spans="1:16" customFormat="1">
      <c r="A106" s="1390"/>
      <c r="B106" s="1390"/>
      <c r="C106" s="1391"/>
      <c r="D106" s="1257"/>
      <c r="E106" s="1257"/>
      <c r="F106" s="1254"/>
      <c r="G106" s="1254"/>
      <c r="H106" s="1392"/>
      <c r="I106" s="1392"/>
      <c r="J106" s="1392"/>
      <c r="K106" s="1392"/>
      <c r="L106" s="1392"/>
      <c r="M106" s="1392"/>
      <c r="N106" s="1392"/>
      <c r="O106" s="1254"/>
      <c r="P106" s="1254"/>
    </row>
    <row r="107" spans="1:16" customFormat="1" ht="15" customHeight="1">
      <c r="A107" s="2352" t="s">
        <v>363</v>
      </c>
      <c r="B107" s="2353" t="s">
        <v>361</v>
      </c>
      <c r="C107" s="2361" t="s">
        <v>9</v>
      </c>
      <c r="D107" s="2354" t="s">
        <v>78</v>
      </c>
      <c r="E107" s="2359" t="s">
        <v>79</v>
      </c>
      <c r="F107" s="2359"/>
      <c r="G107" s="2359"/>
      <c r="H107" s="2359"/>
      <c r="I107" s="2359"/>
      <c r="J107" s="2359"/>
      <c r="K107" s="2359"/>
      <c r="L107" s="2359"/>
      <c r="M107" s="1392"/>
      <c r="N107" s="1392"/>
      <c r="O107" s="1254"/>
      <c r="P107" s="1254"/>
    </row>
    <row r="108" spans="1:16" customFormat="1" ht="103.5" customHeight="1">
      <c r="A108" s="2352"/>
      <c r="B108" s="2353"/>
      <c r="C108" s="2361"/>
      <c r="D108" s="2354"/>
      <c r="E108" s="1380" t="s">
        <v>14</v>
      </c>
      <c r="F108" s="1381" t="s">
        <v>74</v>
      </c>
      <c r="G108" s="1382" t="s">
        <v>61</v>
      </c>
      <c r="H108" s="1383" t="s">
        <v>62</v>
      </c>
      <c r="I108" s="1383" t="s">
        <v>63</v>
      </c>
      <c r="J108" s="1384" t="s">
        <v>75</v>
      </c>
      <c r="K108" s="1382" t="s">
        <v>64</v>
      </c>
      <c r="L108" s="1382" t="s">
        <v>65</v>
      </c>
      <c r="M108" s="1392"/>
      <c r="N108" s="1392"/>
      <c r="O108" s="1254"/>
      <c r="P108" s="1254"/>
    </row>
    <row r="109" spans="1:16" customFormat="1">
      <c r="A109" s="2343"/>
      <c r="B109" s="2343"/>
      <c r="C109" s="1314">
        <v>2014</v>
      </c>
      <c r="D109" s="1275"/>
      <c r="E109" s="1385"/>
      <c r="F109" s="1314"/>
      <c r="G109" s="1314"/>
      <c r="H109" s="1314"/>
      <c r="I109" s="1314"/>
      <c r="J109" s="1314"/>
      <c r="K109" s="1314"/>
      <c r="L109" s="1314"/>
      <c r="M109" s="1392"/>
      <c r="N109" s="1392"/>
      <c r="O109" s="1254"/>
      <c r="P109" s="1254"/>
    </row>
    <row r="110" spans="1:16" customFormat="1">
      <c r="A110" s="2343"/>
      <c r="B110" s="2343"/>
      <c r="C110" s="1315">
        <v>2015</v>
      </c>
      <c r="D110" s="1279">
        <v>0</v>
      </c>
      <c r="E110" s="1387">
        <v>0</v>
      </c>
      <c r="F110" s="1315">
        <v>0</v>
      </c>
      <c r="G110" s="1315">
        <v>0</v>
      </c>
      <c r="H110" s="1315">
        <v>0</v>
      </c>
      <c r="I110" s="1315">
        <v>0</v>
      </c>
      <c r="J110" s="1315">
        <v>0</v>
      </c>
      <c r="K110" s="1315">
        <v>0</v>
      </c>
      <c r="L110" s="1315">
        <v>0</v>
      </c>
      <c r="M110" s="1392"/>
      <c r="N110" s="1392"/>
      <c r="O110" s="1254"/>
      <c r="P110" s="1254"/>
    </row>
    <row r="111" spans="1:16" customFormat="1">
      <c r="A111" s="2343"/>
      <c r="B111" s="2343"/>
      <c r="C111" s="1315">
        <v>2016</v>
      </c>
      <c r="D111" s="1279">
        <v>0</v>
      </c>
      <c r="E111" s="1387">
        <v>0</v>
      </c>
      <c r="F111" s="1315">
        <v>0</v>
      </c>
      <c r="G111" s="1315">
        <v>0</v>
      </c>
      <c r="H111" s="1315">
        <v>0</v>
      </c>
      <c r="I111" s="1315">
        <v>0</v>
      </c>
      <c r="J111" s="1315">
        <v>0</v>
      </c>
      <c r="K111" s="1315">
        <v>0</v>
      </c>
      <c r="L111" s="1315">
        <v>0</v>
      </c>
      <c r="M111" s="1392"/>
      <c r="N111" s="1392"/>
      <c r="O111" s="1254"/>
      <c r="P111" s="1254"/>
    </row>
    <row r="112" spans="1:16" customFormat="1">
      <c r="A112" s="2343"/>
      <c r="B112" s="2343"/>
      <c r="C112" s="1315">
        <v>2017</v>
      </c>
      <c r="D112" s="1279"/>
      <c r="E112" s="1387"/>
      <c r="F112" s="1315"/>
      <c r="G112" s="1315"/>
      <c r="H112" s="1315"/>
      <c r="I112" s="1315"/>
      <c r="J112" s="1315"/>
      <c r="K112" s="1315"/>
      <c r="L112" s="1315"/>
      <c r="M112" s="1392"/>
      <c r="N112" s="1392"/>
      <c r="O112" s="1254"/>
      <c r="P112" s="1254"/>
    </row>
    <row r="113" spans="1:14" customFormat="1">
      <c r="A113" s="2343"/>
      <c r="B113" s="2343"/>
      <c r="C113" s="1315">
        <v>2018</v>
      </c>
      <c r="D113" s="1279"/>
      <c r="E113" s="1387"/>
      <c r="F113" s="1315"/>
      <c r="G113" s="1315"/>
      <c r="H113" s="1315"/>
      <c r="I113" s="1315"/>
      <c r="J113" s="1315"/>
      <c r="K113" s="1315"/>
      <c r="L113" s="1315"/>
      <c r="M113" s="1392"/>
      <c r="N113" s="1392"/>
    </row>
    <row r="114" spans="1:14" customFormat="1">
      <c r="A114" s="2343"/>
      <c r="B114" s="2343"/>
      <c r="C114" s="1315">
        <v>2019</v>
      </c>
      <c r="D114" s="1279"/>
      <c r="E114" s="1387"/>
      <c r="F114" s="1315"/>
      <c r="G114" s="1315"/>
      <c r="H114" s="1315"/>
      <c r="I114" s="1315"/>
      <c r="J114" s="1315"/>
      <c r="K114" s="1315"/>
      <c r="L114" s="1315"/>
      <c r="M114" s="1392"/>
      <c r="N114" s="1392"/>
    </row>
    <row r="115" spans="1:14" customFormat="1">
      <c r="A115" s="2343"/>
      <c r="B115" s="2343"/>
      <c r="C115" s="1315">
        <v>2020</v>
      </c>
      <c r="D115" s="1279"/>
      <c r="E115" s="1387"/>
      <c r="F115" s="1315"/>
      <c r="G115" s="1315"/>
      <c r="H115" s="1315"/>
      <c r="I115" s="1315"/>
      <c r="J115" s="1315"/>
      <c r="K115" s="1315"/>
      <c r="L115" s="1315"/>
      <c r="M115" s="1392"/>
      <c r="N115" s="1392"/>
    </row>
    <row r="116" spans="1:14" customFormat="1" ht="25.5" customHeight="1">
      <c r="A116" s="2343"/>
      <c r="B116" s="2343"/>
      <c r="C116" s="1338" t="s">
        <v>13</v>
      </c>
      <c r="D116" s="1341">
        <v>0</v>
      </c>
      <c r="E116" s="1388">
        <v>0</v>
      </c>
      <c r="F116" s="1389">
        <v>0</v>
      </c>
      <c r="G116" s="1389">
        <v>0</v>
      </c>
      <c r="H116" s="1389">
        <v>0</v>
      </c>
      <c r="I116" s="1389">
        <v>0</v>
      </c>
      <c r="J116" s="1389"/>
      <c r="K116" s="1389">
        <v>0</v>
      </c>
      <c r="L116" s="1389">
        <v>0</v>
      </c>
      <c r="M116" s="1392"/>
      <c r="N116" s="1392"/>
    </row>
    <row r="117" spans="1:14" customFormat="1" ht="21">
      <c r="A117" s="1376"/>
      <c r="B117" s="1393"/>
      <c r="C117" s="1307"/>
      <c r="D117" s="1307"/>
      <c r="E117" s="1307"/>
      <c r="F117" s="1307"/>
      <c r="G117" s="1307"/>
      <c r="H117" s="1307"/>
      <c r="I117" s="1307"/>
      <c r="J117" s="1307"/>
      <c r="K117" s="1307"/>
      <c r="L117" s="1307"/>
      <c r="M117" s="1392"/>
      <c r="N117" s="1392"/>
    </row>
    <row r="118" spans="1:14" customFormat="1" ht="15" customHeight="1">
      <c r="A118" s="2352" t="s">
        <v>81</v>
      </c>
      <c r="B118" s="2353" t="s">
        <v>361</v>
      </c>
      <c r="C118" s="2361" t="s">
        <v>9</v>
      </c>
      <c r="D118" s="2354" t="s">
        <v>82</v>
      </c>
      <c r="E118" s="2359" t="s">
        <v>79</v>
      </c>
      <c r="F118" s="2359"/>
      <c r="G118" s="2359"/>
      <c r="H118" s="2359"/>
      <c r="I118" s="2359"/>
      <c r="J118" s="2359"/>
      <c r="K118" s="2359"/>
      <c r="L118" s="2359"/>
      <c r="M118" s="1392"/>
      <c r="N118" s="1392"/>
    </row>
    <row r="119" spans="1:14" customFormat="1" ht="120.75" customHeight="1">
      <c r="A119" s="2352"/>
      <c r="B119" s="2353"/>
      <c r="C119" s="2361"/>
      <c r="D119" s="2354"/>
      <c r="E119" s="1380" t="s">
        <v>14</v>
      </c>
      <c r="F119" s="1381" t="s">
        <v>74</v>
      </c>
      <c r="G119" s="1382" t="s">
        <v>61</v>
      </c>
      <c r="H119" s="1383" t="s">
        <v>62</v>
      </c>
      <c r="I119" s="1383" t="s">
        <v>63</v>
      </c>
      <c r="J119" s="1384" t="s">
        <v>75</v>
      </c>
      <c r="K119" s="1382" t="s">
        <v>64</v>
      </c>
      <c r="L119" s="1382" t="s">
        <v>65</v>
      </c>
      <c r="M119" s="1392"/>
      <c r="N119" s="1392"/>
    </row>
    <row r="120" spans="1:14" customFormat="1">
      <c r="A120" s="2343"/>
      <c r="B120" s="2343"/>
      <c r="C120" s="1314">
        <v>2014</v>
      </c>
      <c r="D120" s="1275"/>
      <c r="E120" s="1385"/>
      <c r="F120" s="1314"/>
      <c r="G120" s="1314"/>
      <c r="H120" s="1314"/>
      <c r="I120" s="1314"/>
      <c r="J120" s="1314"/>
      <c r="K120" s="1314"/>
      <c r="L120" s="1314"/>
      <c r="M120" s="1392"/>
      <c r="N120" s="1392"/>
    </row>
    <row r="121" spans="1:14" customFormat="1">
      <c r="A121" s="2343"/>
      <c r="B121" s="2343"/>
      <c r="C121" s="1315">
        <v>2015</v>
      </c>
      <c r="D121" s="1279">
        <v>0</v>
      </c>
      <c r="E121" s="1387">
        <v>0</v>
      </c>
      <c r="F121" s="1315">
        <v>0</v>
      </c>
      <c r="G121" s="1315">
        <v>0</v>
      </c>
      <c r="H121" s="1315">
        <v>0</v>
      </c>
      <c r="I121" s="1315">
        <v>0</v>
      </c>
      <c r="J121" s="1315">
        <v>0</v>
      </c>
      <c r="K121" s="1315">
        <v>0</v>
      </c>
      <c r="L121" s="1315">
        <v>0</v>
      </c>
      <c r="M121" s="1392"/>
      <c r="N121" s="1392"/>
    </row>
    <row r="122" spans="1:14" customFormat="1">
      <c r="A122" s="2343"/>
      <c r="B122" s="2343"/>
      <c r="C122" s="1315">
        <v>2016</v>
      </c>
      <c r="D122" s="1279">
        <v>0</v>
      </c>
      <c r="E122" s="1387">
        <v>0</v>
      </c>
      <c r="F122" s="1315">
        <v>0</v>
      </c>
      <c r="G122" s="1315">
        <v>0</v>
      </c>
      <c r="H122" s="1315">
        <v>0</v>
      </c>
      <c r="I122" s="1315">
        <v>0</v>
      </c>
      <c r="J122" s="1315">
        <v>0</v>
      </c>
      <c r="K122" s="1315">
        <v>0</v>
      </c>
      <c r="L122" s="1315">
        <v>0</v>
      </c>
      <c r="M122" s="1392"/>
      <c r="N122" s="1392"/>
    </row>
    <row r="123" spans="1:14" customFormat="1">
      <c r="A123" s="2343"/>
      <c r="B123" s="2343"/>
      <c r="C123" s="1315">
        <v>2017</v>
      </c>
      <c r="D123" s="1279"/>
      <c r="E123" s="1387"/>
      <c r="F123" s="1315"/>
      <c r="G123" s="1315"/>
      <c r="H123" s="1315"/>
      <c r="I123" s="1315"/>
      <c r="J123" s="1315"/>
      <c r="K123" s="1315"/>
      <c r="L123" s="1315"/>
      <c r="M123" s="1392"/>
      <c r="N123" s="1392"/>
    </row>
    <row r="124" spans="1:14" customFormat="1">
      <c r="A124" s="2343"/>
      <c r="B124" s="2343"/>
      <c r="C124" s="1315">
        <v>2018</v>
      </c>
      <c r="D124" s="1279"/>
      <c r="E124" s="1387"/>
      <c r="F124" s="1315"/>
      <c r="G124" s="1315"/>
      <c r="H124" s="1315"/>
      <c r="I124" s="1315"/>
      <c r="J124" s="1315"/>
      <c r="K124" s="1315"/>
      <c r="L124" s="1315"/>
      <c r="M124" s="1392"/>
      <c r="N124" s="1392"/>
    </row>
    <row r="125" spans="1:14" customFormat="1">
      <c r="A125" s="2343"/>
      <c r="B125" s="2343"/>
      <c r="C125" s="1315">
        <v>2019</v>
      </c>
      <c r="D125" s="1279"/>
      <c r="E125" s="1387"/>
      <c r="F125" s="1315"/>
      <c r="G125" s="1315"/>
      <c r="H125" s="1315"/>
      <c r="I125" s="1315"/>
      <c r="J125" s="1315"/>
      <c r="K125" s="1315"/>
      <c r="L125" s="1315"/>
      <c r="M125" s="1392"/>
      <c r="N125" s="1392"/>
    </row>
    <row r="126" spans="1:14" customFormat="1">
      <c r="A126" s="2343"/>
      <c r="B126" s="2343"/>
      <c r="C126" s="1315">
        <v>2020</v>
      </c>
      <c r="D126" s="1279"/>
      <c r="E126" s="1387"/>
      <c r="F126" s="1315"/>
      <c r="G126" s="1315"/>
      <c r="H126" s="1315"/>
      <c r="I126" s="1315"/>
      <c r="J126" s="1315"/>
      <c r="K126" s="1315"/>
      <c r="L126" s="1315"/>
      <c r="M126" s="1392"/>
      <c r="N126" s="1392"/>
    </row>
    <row r="127" spans="1:14" customFormat="1">
      <c r="A127" s="2343"/>
      <c r="B127" s="2343"/>
      <c r="C127" s="1338" t="s">
        <v>13</v>
      </c>
      <c r="D127" s="1341">
        <v>0</v>
      </c>
      <c r="E127" s="1388">
        <v>0</v>
      </c>
      <c r="F127" s="1389">
        <v>0</v>
      </c>
      <c r="G127" s="1389">
        <v>0</v>
      </c>
      <c r="H127" s="1389">
        <v>0</v>
      </c>
      <c r="I127" s="1389">
        <v>0</v>
      </c>
      <c r="J127" s="1389"/>
      <c r="K127" s="1389">
        <v>0</v>
      </c>
      <c r="L127" s="1389">
        <v>0</v>
      </c>
      <c r="M127" s="1392"/>
      <c r="N127" s="1392"/>
    </row>
    <row r="128" spans="1:14" customFormat="1">
      <c r="A128" s="1390"/>
      <c r="B128" s="1390"/>
      <c r="C128" s="1391"/>
      <c r="D128" s="1257"/>
      <c r="E128" s="1257"/>
      <c r="F128" s="1254"/>
      <c r="G128" s="1254"/>
      <c r="H128" s="1392"/>
      <c r="I128" s="1392"/>
      <c r="J128" s="1392"/>
      <c r="K128" s="1392"/>
      <c r="L128" s="1392"/>
      <c r="M128" s="1392"/>
      <c r="N128" s="1392"/>
    </row>
    <row r="129" spans="1:16" customFormat="1" ht="15" customHeight="1">
      <c r="A129" s="2352" t="s">
        <v>84</v>
      </c>
      <c r="B129" s="2353" t="s">
        <v>361</v>
      </c>
      <c r="C129" s="1394" t="s">
        <v>9</v>
      </c>
      <c r="D129" s="2354" t="s">
        <v>85</v>
      </c>
      <c r="E129" s="2354"/>
      <c r="F129" s="2354"/>
      <c r="G129" s="2354"/>
      <c r="H129" s="1392"/>
      <c r="I129" s="1392"/>
      <c r="J129" s="1392"/>
      <c r="K129" s="1392"/>
      <c r="L129" s="1392"/>
      <c r="M129" s="1392"/>
      <c r="N129" s="1392"/>
      <c r="O129" s="1254"/>
      <c r="P129" s="1254"/>
    </row>
    <row r="130" spans="1:16" customFormat="1" ht="77.25" customHeight="1">
      <c r="A130" s="2352"/>
      <c r="B130" s="2353"/>
      <c r="C130" s="1395"/>
      <c r="D130" s="1378" t="s">
        <v>86</v>
      </c>
      <c r="E130" s="1379" t="s">
        <v>87</v>
      </c>
      <c r="F130" s="1379" t="s">
        <v>88</v>
      </c>
      <c r="G130" s="1396" t="s">
        <v>13</v>
      </c>
      <c r="H130" s="1392"/>
      <c r="I130" s="1392"/>
      <c r="J130" s="1392"/>
      <c r="K130" s="1392"/>
      <c r="L130" s="1392"/>
      <c r="M130" s="1392"/>
      <c r="N130" s="1392"/>
      <c r="O130" s="1254"/>
      <c r="P130" s="1254"/>
    </row>
    <row r="131" spans="1:16" customFormat="1" ht="15" customHeight="1">
      <c r="A131" s="2355" t="s">
        <v>364</v>
      </c>
      <c r="B131" s="2356"/>
      <c r="C131" s="1314">
        <v>2015</v>
      </c>
      <c r="D131" s="1397">
        <v>48</v>
      </c>
      <c r="E131" s="1398">
        <v>0</v>
      </c>
      <c r="F131" s="1398">
        <v>0</v>
      </c>
      <c r="G131" s="1399">
        <f>SUM(D131:F131)</f>
        <v>48</v>
      </c>
      <c r="H131" s="1392"/>
      <c r="I131" s="1392"/>
      <c r="J131" s="1392"/>
      <c r="K131" s="1392"/>
      <c r="L131" s="1392"/>
      <c r="M131" s="1392"/>
      <c r="N131" s="1392"/>
      <c r="O131" s="1254"/>
      <c r="P131" s="1254"/>
    </row>
    <row r="132" spans="1:16" customFormat="1">
      <c r="A132" s="2355"/>
      <c r="B132" s="2356"/>
      <c r="C132" s="1315">
        <v>2016</v>
      </c>
      <c r="D132" s="1282">
        <v>105</v>
      </c>
      <c r="E132" s="1279">
        <v>0</v>
      </c>
      <c r="F132" s="1279">
        <v>0</v>
      </c>
      <c r="G132" s="1400">
        <f>SUM(D132:F132)</f>
        <v>105</v>
      </c>
      <c r="H132" s="1392"/>
      <c r="I132" s="1392"/>
      <c r="J132" s="1392"/>
      <c r="K132" s="1392"/>
      <c r="L132" s="1392"/>
      <c r="M132" s="1392"/>
      <c r="N132" s="1392"/>
      <c r="O132" s="1254"/>
      <c r="P132" s="1254"/>
    </row>
    <row r="133" spans="1:16" customFormat="1">
      <c r="A133" s="2355"/>
      <c r="B133" s="2356"/>
      <c r="C133" s="1315">
        <v>2017</v>
      </c>
      <c r="D133" s="1282">
        <v>111</v>
      </c>
      <c r="E133" s="1279">
        <v>0</v>
      </c>
      <c r="F133" s="1279">
        <v>0</v>
      </c>
      <c r="G133" s="1400">
        <v>111</v>
      </c>
      <c r="H133" s="1392"/>
      <c r="I133" s="1392"/>
      <c r="J133" s="1392"/>
      <c r="K133" s="1392"/>
      <c r="L133" s="1392"/>
      <c r="M133" s="1392"/>
      <c r="N133" s="1392"/>
      <c r="O133" s="1254"/>
      <c r="P133" s="1254"/>
    </row>
    <row r="134" spans="1:16" customFormat="1">
      <c r="A134" s="2355"/>
      <c r="B134" s="2356"/>
      <c r="C134" s="1315">
        <v>2018</v>
      </c>
      <c r="D134" s="1282"/>
      <c r="E134" s="1279"/>
      <c r="F134" s="1279"/>
      <c r="G134" s="1400">
        <v>0</v>
      </c>
      <c r="H134" s="1392"/>
      <c r="I134" s="1392"/>
      <c r="J134" s="1392"/>
      <c r="K134" s="1392"/>
      <c r="L134" s="1392"/>
      <c r="M134" s="1392"/>
      <c r="N134" s="1392"/>
      <c r="O134" s="1254"/>
      <c r="P134" s="1254"/>
    </row>
    <row r="135" spans="1:16" customFormat="1">
      <c r="A135" s="2355"/>
      <c r="B135" s="2356"/>
      <c r="C135" s="1315">
        <v>2019</v>
      </c>
      <c r="D135" s="1282"/>
      <c r="E135" s="1279"/>
      <c r="F135" s="1279"/>
      <c r="G135" s="1400">
        <v>0</v>
      </c>
      <c r="H135" s="1392"/>
      <c r="I135" s="1392"/>
      <c r="J135" s="1392"/>
      <c r="K135" s="1392"/>
      <c r="L135" s="1392"/>
      <c r="M135" s="1392"/>
      <c r="N135" s="1392"/>
      <c r="O135" s="1254"/>
      <c r="P135" s="1254"/>
    </row>
    <row r="136" spans="1:16" customFormat="1">
      <c r="A136" s="2355"/>
      <c r="B136" s="2356"/>
      <c r="C136" s="1315">
        <v>2020</v>
      </c>
      <c r="D136" s="1282"/>
      <c r="E136" s="1279"/>
      <c r="F136" s="1279"/>
      <c r="G136" s="1400">
        <v>0</v>
      </c>
      <c r="H136" s="1392"/>
      <c r="I136" s="1392"/>
      <c r="J136" s="1392"/>
      <c r="K136" s="1392"/>
      <c r="L136" s="1392"/>
      <c r="M136" s="1392"/>
      <c r="N136" s="1392"/>
      <c r="O136" s="1254"/>
      <c r="P136" s="1254"/>
    </row>
    <row r="137" spans="1:16" customFormat="1" ht="17.25" customHeight="1">
      <c r="A137" s="2357"/>
      <c r="B137" s="2358"/>
      <c r="C137" s="1338" t="s">
        <v>13</v>
      </c>
      <c r="D137" s="1355">
        <f>SUM(D131:D136)</f>
        <v>264</v>
      </c>
      <c r="E137" s="1355">
        <v>0</v>
      </c>
      <c r="F137" s="1355">
        <v>0</v>
      </c>
      <c r="G137" s="1401">
        <f>SUM(G131:G136)</f>
        <v>264</v>
      </c>
      <c r="H137" s="1392"/>
      <c r="I137" s="1392"/>
      <c r="J137" s="1392"/>
      <c r="K137" s="1392"/>
      <c r="L137" s="1392"/>
      <c r="M137" s="1392"/>
      <c r="N137" s="1392"/>
      <c r="O137" s="1254"/>
      <c r="P137" s="1254"/>
    </row>
    <row r="138" spans="1:16" customFormat="1">
      <c r="A138" s="1390"/>
      <c r="B138" s="1390"/>
      <c r="C138" s="1391"/>
      <c r="D138" s="1257"/>
      <c r="E138" s="1257"/>
      <c r="F138" s="1254"/>
      <c r="G138" s="1254"/>
      <c r="H138" s="1392"/>
      <c r="I138" s="1392"/>
      <c r="J138" s="1392"/>
      <c r="K138" s="1392"/>
      <c r="L138" s="1392"/>
      <c r="M138" s="1392"/>
      <c r="N138" s="1392"/>
      <c r="O138" s="1254"/>
      <c r="P138" s="1254"/>
    </row>
    <row r="139" spans="1:16" s="1307" customFormat="1" ht="33" customHeight="1">
      <c r="A139" s="1402"/>
      <c r="B139" s="1321"/>
      <c r="C139" s="1322"/>
      <c r="D139" s="1278"/>
      <c r="E139" s="1278"/>
      <c r="F139" s="1278"/>
      <c r="G139" s="1278"/>
      <c r="H139" s="1278"/>
      <c r="I139" s="1403"/>
      <c r="J139" s="1404"/>
      <c r="K139" s="1404"/>
      <c r="L139" s="1404"/>
      <c r="M139" s="1404"/>
      <c r="N139" s="1404"/>
      <c r="O139" s="1404"/>
      <c r="P139" s="1404"/>
    </row>
    <row r="140" spans="1:16" customFormat="1" ht="21">
      <c r="A140" s="1405" t="s">
        <v>90</v>
      </c>
      <c r="B140" s="1405"/>
      <c r="C140" s="1406"/>
      <c r="D140" s="1406"/>
      <c r="E140" s="1406"/>
      <c r="F140" s="1406"/>
      <c r="G140" s="1406"/>
      <c r="H140" s="1406"/>
      <c r="I140" s="1406"/>
      <c r="J140" s="1406"/>
      <c r="K140" s="1406"/>
      <c r="L140" s="1406"/>
      <c r="M140" s="1406"/>
      <c r="N140" s="1406"/>
      <c r="O140" s="1375"/>
      <c r="P140" s="1375"/>
    </row>
    <row r="141" spans="1:16" customFormat="1" ht="21.75" customHeight="1">
      <c r="A141" s="1407"/>
      <c r="B141" s="1343"/>
      <c r="C141" s="1357"/>
      <c r="D141" s="1319"/>
      <c r="E141" s="1319"/>
      <c r="F141" s="1319"/>
      <c r="G141" s="1319"/>
      <c r="H141" s="1319"/>
      <c r="I141" s="1377"/>
      <c r="J141" s="1377"/>
      <c r="K141" s="1377"/>
      <c r="L141" s="1377"/>
      <c r="M141" s="1377"/>
      <c r="N141" s="1377"/>
      <c r="O141" s="1377"/>
      <c r="P141" s="1377"/>
    </row>
    <row r="142" spans="1:16" customFormat="1" ht="21.75" customHeight="1">
      <c r="A142" s="2350" t="s">
        <v>91</v>
      </c>
      <c r="B142" s="2348" t="s">
        <v>361</v>
      </c>
      <c r="C142" s="2351" t="s">
        <v>9</v>
      </c>
      <c r="D142" s="2351" t="s">
        <v>92</v>
      </c>
      <c r="E142" s="2351"/>
      <c r="F142" s="2351"/>
      <c r="G142" s="2351"/>
      <c r="H142" s="2351"/>
      <c r="I142" s="2351"/>
      <c r="J142" s="2346" t="s">
        <v>93</v>
      </c>
      <c r="K142" s="2346"/>
      <c r="L142" s="2346"/>
      <c r="M142" s="2346"/>
      <c r="N142" s="2346"/>
      <c r="O142" s="1377"/>
      <c r="P142" s="1377"/>
    </row>
    <row r="143" spans="1:16" customFormat="1" ht="113.25" customHeight="1">
      <c r="A143" s="2350"/>
      <c r="B143" s="2348"/>
      <c r="C143" s="2351"/>
      <c r="D143" s="1408" t="s">
        <v>94</v>
      </c>
      <c r="E143" s="1409" t="s">
        <v>95</v>
      </c>
      <c r="F143" s="1410" t="s">
        <v>96</v>
      </c>
      <c r="G143" s="1410" t="s">
        <v>97</v>
      </c>
      <c r="H143" s="1410" t="s">
        <v>98</v>
      </c>
      <c r="I143" s="1410" t="s">
        <v>99</v>
      </c>
      <c r="J143" s="1411" t="s">
        <v>100</v>
      </c>
      <c r="K143" s="1412" t="s">
        <v>101</v>
      </c>
      <c r="L143" s="1411" t="s">
        <v>102</v>
      </c>
      <c r="M143" s="1412" t="s">
        <v>101</v>
      </c>
      <c r="N143" s="1413" t="s">
        <v>103</v>
      </c>
      <c r="O143" s="1377"/>
      <c r="P143" s="1377"/>
    </row>
    <row r="144" spans="1:16" customFormat="1" ht="19.5" customHeight="1">
      <c r="A144" s="2343"/>
      <c r="B144" s="2343"/>
      <c r="C144" s="1314">
        <v>2014</v>
      </c>
      <c r="D144" s="1276"/>
      <c r="E144" s="1276"/>
      <c r="F144" s="1275"/>
      <c r="G144" s="1314"/>
      <c r="H144" s="1314"/>
      <c r="I144" s="1389">
        <v>0</v>
      </c>
      <c r="J144" s="1414"/>
      <c r="K144" s="1314"/>
      <c r="L144" s="1414"/>
      <c r="M144" s="1314"/>
      <c r="N144" s="1415"/>
      <c r="O144" s="1377"/>
      <c r="P144" s="1377"/>
    </row>
    <row r="145" spans="1:16" customFormat="1" ht="19.5" customHeight="1">
      <c r="A145" s="2343"/>
      <c r="B145" s="2343"/>
      <c r="C145" s="1315">
        <v>2015</v>
      </c>
      <c r="D145" s="1282">
        <v>0</v>
      </c>
      <c r="E145" s="1282">
        <v>0</v>
      </c>
      <c r="F145" s="1279">
        <v>0</v>
      </c>
      <c r="G145" s="1315">
        <v>0</v>
      </c>
      <c r="H145" s="1315">
        <v>0</v>
      </c>
      <c r="I145" s="1389">
        <v>0</v>
      </c>
      <c r="J145" s="1416">
        <v>0</v>
      </c>
      <c r="K145" s="1315">
        <v>0</v>
      </c>
      <c r="L145" s="1416">
        <v>0</v>
      </c>
      <c r="M145" s="1315">
        <v>0</v>
      </c>
      <c r="N145" s="1417">
        <v>0</v>
      </c>
      <c r="O145" s="1377"/>
      <c r="P145" s="1377"/>
    </row>
    <row r="146" spans="1:16" customFormat="1" ht="20.25" customHeight="1">
      <c r="A146" s="2343"/>
      <c r="B146" s="2343"/>
      <c r="C146" s="1315">
        <v>2016</v>
      </c>
      <c r="D146" s="1282">
        <v>0</v>
      </c>
      <c r="E146" s="1282">
        <v>0</v>
      </c>
      <c r="F146" s="1279">
        <v>0</v>
      </c>
      <c r="G146" s="1315">
        <v>0</v>
      </c>
      <c r="H146" s="1315">
        <v>0</v>
      </c>
      <c r="I146" s="1389">
        <v>0</v>
      </c>
      <c r="J146" s="1416">
        <v>0</v>
      </c>
      <c r="K146" s="1315">
        <v>0</v>
      </c>
      <c r="L146" s="1416">
        <v>0</v>
      </c>
      <c r="M146" s="1315">
        <v>0</v>
      </c>
      <c r="N146" s="1417">
        <v>0</v>
      </c>
      <c r="O146" s="1377"/>
      <c r="P146" s="1377"/>
    </row>
    <row r="147" spans="1:16" customFormat="1" ht="17.25" customHeight="1">
      <c r="A147" s="2343"/>
      <c r="B147" s="2343"/>
      <c r="C147" s="1315">
        <v>2017</v>
      </c>
      <c r="D147" s="1282"/>
      <c r="E147" s="1282"/>
      <c r="F147" s="1279"/>
      <c r="G147" s="1315"/>
      <c r="H147" s="1315"/>
      <c r="I147" s="1389">
        <v>0</v>
      </c>
      <c r="J147" s="1416"/>
      <c r="K147" s="1315"/>
      <c r="L147" s="1416"/>
      <c r="M147" s="1315"/>
      <c r="N147" s="1417"/>
      <c r="O147" s="1377"/>
      <c r="P147" s="1377"/>
    </row>
    <row r="148" spans="1:16" customFormat="1" ht="19.5" customHeight="1">
      <c r="A148" s="2343"/>
      <c r="B148" s="2343"/>
      <c r="C148" s="1315">
        <v>2018</v>
      </c>
      <c r="D148" s="1282"/>
      <c r="E148" s="1282"/>
      <c r="F148" s="1279"/>
      <c r="G148" s="1315"/>
      <c r="H148" s="1315"/>
      <c r="I148" s="1389">
        <v>0</v>
      </c>
      <c r="J148" s="1416"/>
      <c r="K148" s="1315"/>
      <c r="L148" s="1416"/>
      <c r="M148" s="1315"/>
      <c r="N148" s="1417"/>
      <c r="O148" s="1377"/>
      <c r="P148" s="1377"/>
    </row>
    <row r="149" spans="1:16" customFormat="1" ht="19.5" customHeight="1">
      <c r="A149" s="2343"/>
      <c r="B149" s="2343"/>
      <c r="C149" s="1315">
        <v>2019</v>
      </c>
      <c r="D149" s="1282"/>
      <c r="E149" s="1282"/>
      <c r="F149" s="1279"/>
      <c r="G149" s="1315"/>
      <c r="H149" s="1315"/>
      <c r="I149" s="1389">
        <v>0</v>
      </c>
      <c r="J149" s="1416"/>
      <c r="K149" s="1315"/>
      <c r="L149" s="1416"/>
      <c r="M149" s="1315"/>
      <c r="N149" s="1417"/>
      <c r="O149" s="1377"/>
      <c r="P149" s="1377"/>
    </row>
    <row r="150" spans="1:16" customFormat="1" ht="18.75" customHeight="1">
      <c r="A150" s="2343"/>
      <c r="B150" s="2343"/>
      <c r="C150" s="1315">
        <v>2020</v>
      </c>
      <c r="D150" s="1282"/>
      <c r="E150" s="1282"/>
      <c r="F150" s="1279"/>
      <c r="G150" s="1315"/>
      <c r="H150" s="1315"/>
      <c r="I150" s="1389">
        <v>0</v>
      </c>
      <c r="J150" s="1416"/>
      <c r="K150" s="1315"/>
      <c r="L150" s="1416"/>
      <c r="M150" s="1315"/>
      <c r="N150" s="1417"/>
      <c r="O150" s="1377"/>
      <c r="P150" s="1377"/>
    </row>
    <row r="151" spans="1:16" customFormat="1" ht="18" customHeight="1">
      <c r="A151" s="2343"/>
      <c r="B151" s="2343"/>
      <c r="C151" s="1338" t="s">
        <v>13</v>
      </c>
      <c r="D151" s="1355">
        <v>0</v>
      </c>
      <c r="E151" s="1355">
        <v>0</v>
      </c>
      <c r="F151" s="1355">
        <v>0</v>
      </c>
      <c r="G151" s="1355">
        <v>0</v>
      </c>
      <c r="H151" s="1355">
        <v>0</v>
      </c>
      <c r="I151" s="1341">
        <v>0</v>
      </c>
      <c r="J151" s="1418">
        <v>0</v>
      </c>
      <c r="K151" s="1389">
        <v>0</v>
      </c>
      <c r="L151" s="1418">
        <v>0</v>
      </c>
      <c r="M151" s="1389">
        <v>0</v>
      </c>
      <c r="N151" s="1419">
        <v>0</v>
      </c>
      <c r="O151" s="1377"/>
      <c r="P151" s="1377"/>
    </row>
    <row r="152" spans="1:16" customFormat="1" ht="27" customHeight="1">
      <c r="A152" s="1254"/>
      <c r="B152" s="1420"/>
      <c r="C152" s="1254"/>
      <c r="D152" s="1254"/>
      <c r="E152" s="1254"/>
      <c r="F152" s="1254"/>
      <c r="G152" s="1254"/>
      <c r="H152" s="1254"/>
      <c r="I152" s="1254"/>
      <c r="J152" s="1254"/>
      <c r="K152" s="1254"/>
      <c r="L152" s="1254"/>
      <c r="M152" s="1254"/>
      <c r="N152" s="1254"/>
      <c r="O152" s="1377"/>
      <c r="P152" s="1377"/>
    </row>
    <row r="153" spans="1:16" customFormat="1" ht="35.25" customHeight="1">
      <c r="A153" s="2347" t="s">
        <v>105</v>
      </c>
      <c r="B153" s="2348" t="s">
        <v>361</v>
      </c>
      <c r="C153" s="2346" t="s">
        <v>9</v>
      </c>
      <c r="D153" s="2349" t="s">
        <v>106</v>
      </c>
      <c r="E153" s="2349"/>
      <c r="F153" s="2349"/>
      <c r="G153" s="2349"/>
      <c r="H153" s="2349" t="s">
        <v>107</v>
      </c>
      <c r="I153" s="2349"/>
      <c r="J153" s="2349"/>
      <c r="K153" s="1274"/>
      <c r="L153" s="1274"/>
      <c r="M153" s="1274"/>
      <c r="N153" s="1274"/>
      <c r="O153" s="1377"/>
      <c r="P153" s="1377"/>
    </row>
    <row r="154" spans="1:16" customFormat="1" ht="49.5" customHeight="1">
      <c r="A154" s="2347"/>
      <c r="B154" s="2348"/>
      <c r="C154" s="2346"/>
      <c r="D154" s="1421" t="s">
        <v>108</v>
      </c>
      <c r="E154" s="1422" t="s">
        <v>365</v>
      </c>
      <c r="F154" s="1423" t="s">
        <v>110</v>
      </c>
      <c r="G154" s="1424" t="s">
        <v>111</v>
      </c>
      <c r="H154" s="1421" t="s">
        <v>112</v>
      </c>
      <c r="I154" s="1422" t="s">
        <v>113</v>
      </c>
      <c r="J154" s="1422" t="s">
        <v>103</v>
      </c>
      <c r="K154" s="1274"/>
      <c r="L154" s="1274"/>
      <c r="M154" s="1274"/>
      <c r="N154" s="1274"/>
      <c r="O154" s="1377"/>
      <c r="P154" s="1377"/>
    </row>
    <row r="155" spans="1:16" customFormat="1" ht="18.75" customHeight="1">
      <c r="A155" s="2343"/>
      <c r="B155" s="2343"/>
      <c r="C155" s="1425">
        <v>2014</v>
      </c>
      <c r="D155" s="1414"/>
      <c r="E155" s="1314"/>
      <c r="F155" s="1314"/>
      <c r="G155" s="1389">
        <v>0</v>
      </c>
      <c r="H155" s="1414"/>
      <c r="I155" s="1314"/>
      <c r="J155" s="1314"/>
      <c r="K155" s="1254"/>
      <c r="L155" s="1254"/>
      <c r="M155" s="1254"/>
      <c r="N155" s="1254"/>
      <c r="O155" s="1377"/>
      <c r="P155" s="1377"/>
    </row>
    <row r="156" spans="1:16" customFormat="1" ht="19.5" customHeight="1">
      <c r="A156" s="2343"/>
      <c r="B156" s="2343"/>
      <c r="C156" s="1426">
        <v>2015</v>
      </c>
      <c r="D156" s="1416">
        <v>0</v>
      </c>
      <c r="E156" s="1315">
        <v>0</v>
      </c>
      <c r="F156" s="1315">
        <v>0</v>
      </c>
      <c r="G156" s="1389">
        <v>0</v>
      </c>
      <c r="H156" s="1416">
        <v>0</v>
      </c>
      <c r="I156" s="1315">
        <v>0</v>
      </c>
      <c r="J156" s="1315">
        <v>0</v>
      </c>
      <c r="K156" s="1254"/>
      <c r="L156" s="1254"/>
      <c r="M156" s="1254"/>
      <c r="N156" s="1254"/>
      <c r="O156" s="1377"/>
      <c r="P156" s="1377"/>
    </row>
    <row r="157" spans="1:16" customFormat="1" ht="17.25" customHeight="1">
      <c r="A157" s="2343"/>
      <c r="B157" s="2343"/>
      <c r="C157" s="1426">
        <v>2016</v>
      </c>
      <c r="D157" s="1416">
        <v>0</v>
      </c>
      <c r="E157" s="1315">
        <v>0</v>
      </c>
      <c r="F157" s="1315">
        <v>0</v>
      </c>
      <c r="G157" s="1389">
        <v>0</v>
      </c>
      <c r="H157" s="1416">
        <v>0</v>
      </c>
      <c r="I157" s="1315">
        <v>0</v>
      </c>
      <c r="J157" s="1315">
        <v>0</v>
      </c>
      <c r="K157" s="1254"/>
      <c r="L157" s="1254"/>
      <c r="M157" s="1254"/>
      <c r="N157" s="1254"/>
      <c r="O157" s="1377"/>
      <c r="P157" s="1377"/>
    </row>
    <row r="158" spans="1:16" customFormat="1" ht="15" customHeight="1">
      <c r="A158" s="2343"/>
      <c r="B158" s="2343"/>
      <c r="C158" s="1426">
        <v>2017</v>
      </c>
      <c r="D158" s="1416"/>
      <c r="E158" s="1315"/>
      <c r="F158" s="1315"/>
      <c r="G158" s="1389">
        <v>0</v>
      </c>
      <c r="H158" s="1416"/>
      <c r="I158" s="1315"/>
      <c r="J158" s="1315"/>
      <c r="K158" s="1254"/>
      <c r="L158" s="1254"/>
      <c r="M158" s="1254"/>
      <c r="N158" s="1254"/>
      <c r="O158" s="1377"/>
      <c r="P158" s="1377"/>
    </row>
    <row r="159" spans="1:16" customFormat="1" ht="19.5" customHeight="1">
      <c r="A159" s="2343"/>
      <c r="B159" s="2343"/>
      <c r="C159" s="1426">
        <v>2018</v>
      </c>
      <c r="D159" s="1416"/>
      <c r="E159" s="1315"/>
      <c r="F159" s="1315"/>
      <c r="G159" s="1389">
        <v>0</v>
      </c>
      <c r="H159" s="1416"/>
      <c r="I159" s="1315"/>
      <c r="J159" s="1315"/>
      <c r="K159" s="1254"/>
      <c r="L159" s="1254"/>
      <c r="M159" s="1254"/>
      <c r="N159" s="1254"/>
      <c r="O159" s="1377"/>
      <c r="P159" s="1377"/>
    </row>
    <row r="160" spans="1:16" customFormat="1" ht="15" customHeight="1">
      <c r="A160" s="2343"/>
      <c r="B160" s="2343"/>
      <c r="C160" s="1426">
        <v>2019</v>
      </c>
      <c r="D160" s="1416"/>
      <c r="E160" s="1315"/>
      <c r="F160" s="1315"/>
      <c r="G160" s="1389">
        <v>0</v>
      </c>
      <c r="H160" s="1416"/>
      <c r="I160" s="1315"/>
      <c r="J160" s="1315"/>
      <c r="K160" s="1254"/>
      <c r="L160" s="1254"/>
      <c r="M160" s="1254"/>
      <c r="N160" s="1254"/>
      <c r="O160" s="1377"/>
      <c r="P160" s="1377"/>
    </row>
    <row r="161" spans="1:18" customFormat="1" ht="17.25" customHeight="1">
      <c r="A161" s="2343"/>
      <c r="B161" s="2343"/>
      <c r="C161" s="1426">
        <v>2020</v>
      </c>
      <c r="D161" s="1416"/>
      <c r="E161" s="1315"/>
      <c r="F161" s="1315"/>
      <c r="G161" s="1389">
        <v>0</v>
      </c>
      <c r="H161" s="1416"/>
      <c r="I161" s="1315"/>
      <c r="J161" s="1315"/>
      <c r="K161" s="1254"/>
      <c r="L161" s="1254"/>
      <c r="M161" s="1254"/>
      <c r="N161" s="1254"/>
      <c r="O161" s="1377"/>
      <c r="P161" s="1377"/>
      <c r="Q161" s="1254"/>
      <c r="R161" s="1254"/>
    </row>
    <row r="162" spans="1:18" customFormat="1">
      <c r="A162" s="2343"/>
      <c r="B162" s="2343"/>
      <c r="C162" s="1427" t="s">
        <v>13</v>
      </c>
      <c r="D162" s="1418">
        <v>0</v>
      </c>
      <c r="E162" s="1389">
        <v>0</v>
      </c>
      <c r="F162" s="1389">
        <v>0</v>
      </c>
      <c r="G162" s="1389">
        <v>0</v>
      </c>
      <c r="H162" s="1418">
        <v>0</v>
      </c>
      <c r="I162" s="1389">
        <v>0</v>
      </c>
      <c r="J162" s="1428">
        <v>0</v>
      </c>
      <c r="K162" s="1254"/>
      <c r="L162" s="1254"/>
      <c r="M162" s="1254"/>
      <c r="N162" s="1254"/>
      <c r="O162" s="1254"/>
      <c r="P162" s="1254"/>
      <c r="Q162" s="1254"/>
      <c r="R162" s="1254"/>
    </row>
    <row r="163" spans="1:18" customFormat="1" ht="24.75" customHeight="1">
      <c r="A163" s="1407"/>
      <c r="B163" s="1343"/>
      <c r="C163" s="1429"/>
      <c r="D163" s="1377"/>
      <c r="E163" s="1430"/>
      <c r="F163" s="1377"/>
      <c r="G163" s="1377"/>
      <c r="H163" s="1377"/>
      <c r="I163" s="1377"/>
      <c r="J163" s="1358"/>
      <c r="K163" s="1431"/>
      <c r="L163" s="1254"/>
      <c r="M163" s="1254"/>
      <c r="N163" s="1254"/>
      <c r="O163" s="1254"/>
      <c r="P163" s="1254"/>
      <c r="Q163" s="1254"/>
      <c r="R163" s="1254"/>
    </row>
    <row r="164" spans="1:18" customFormat="1" ht="95.25" customHeight="1">
      <c r="A164" s="1432" t="s">
        <v>115</v>
      </c>
      <c r="B164" s="1433" t="s">
        <v>366</v>
      </c>
      <c r="C164" s="1434" t="s">
        <v>9</v>
      </c>
      <c r="D164" s="1435" t="s">
        <v>117</v>
      </c>
      <c r="E164" s="1435" t="s">
        <v>118</v>
      </c>
      <c r="F164" s="1436" t="s">
        <v>119</v>
      </c>
      <c r="G164" s="1435" t="s">
        <v>120</v>
      </c>
      <c r="H164" s="1435" t="s">
        <v>121</v>
      </c>
      <c r="I164" s="1435" t="s">
        <v>122</v>
      </c>
      <c r="J164" s="1437" t="s">
        <v>123</v>
      </c>
      <c r="K164" s="1437" t="s">
        <v>124</v>
      </c>
      <c r="L164" s="1332"/>
      <c r="M164" s="1254"/>
      <c r="N164" s="1254"/>
      <c r="O164" s="1254"/>
      <c r="P164" s="1254"/>
      <c r="Q164" s="1254"/>
      <c r="R164" s="1254"/>
    </row>
    <row r="165" spans="1:18" customFormat="1" ht="15.75" customHeight="1">
      <c r="A165" s="2344"/>
      <c r="B165" s="2344"/>
      <c r="C165" s="1438">
        <v>2014</v>
      </c>
      <c r="D165" s="1314"/>
      <c r="E165" s="1314"/>
      <c r="F165" s="1314"/>
      <c r="G165" s="1314"/>
      <c r="H165" s="1314"/>
      <c r="I165" s="1314"/>
      <c r="J165" s="1439">
        <v>0</v>
      </c>
      <c r="K165" s="1275">
        <v>0</v>
      </c>
      <c r="L165" s="1332"/>
      <c r="M165" s="1254"/>
      <c r="N165" s="1254"/>
      <c r="O165" s="1254"/>
      <c r="P165" s="1254"/>
      <c r="Q165" s="1254"/>
      <c r="R165" s="1254"/>
    </row>
    <row r="166" spans="1:18" customFormat="1">
      <c r="A166" s="2344"/>
      <c r="B166" s="2344"/>
      <c r="C166" s="1440">
        <v>2015</v>
      </c>
      <c r="D166" s="1441">
        <v>0</v>
      </c>
      <c r="E166" s="1441">
        <v>0</v>
      </c>
      <c r="F166" s="1441">
        <v>0</v>
      </c>
      <c r="G166" s="1441">
        <v>0</v>
      </c>
      <c r="H166" s="1441">
        <v>0</v>
      </c>
      <c r="I166" s="1441">
        <v>0</v>
      </c>
      <c r="J166" s="1442">
        <v>0</v>
      </c>
      <c r="K166" s="1341">
        <v>0</v>
      </c>
      <c r="L166" s="1332"/>
      <c r="M166" s="1254"/>
      <c r="N166" s="1254"/>
      <c r="O166" s="1254"/>
      <c r="P166" s="1254"/>
      <c r="Q166" s="1254"/>
      <c r="R166" s="1254"/>
    </row>
    <row r="167" spans="1:18" customFormat="1">
      <c r="A167" s="2344"/>
      <c r="B167" s="2344"/>
      <c r="C167" s="1440">
        <v>2016</v>
      </c>
      <c r="D167" s="1441">
        <v>0</v>
      </c>
      <c r="E167" s="1441">
        <v>0</v>
      </c>
      <c r="F167" s="1441">
        <v>0</v>
      </c>
      <c r="G167" s="1441">
        <v>0</v>
      </c>
      <c r="H167" s="1441">
        <v>0</v>
      </c>
      <c r="I167" s="1441">
        <v>0</v>
      </c>
      <c r="J167" s="1442">
        <v>0</v>
      </c>
      <c r="K167" s="1341">
        <v>0</v>
      </c>
      <c r="L167" s="1254"/>
      <c r="M167" s="1254"/>
      <c r="N167" s="1254"/>
      <c r="O167" s="1254"/>
      <c r="P167" s="1254"/>
      <c r="Q167" s="1254"/>
      <c r="R167" s="1254"/>
    </row>
    <row r="168" spans="1:18" customFormat="1">
      <c r="A168" s="2344"/>
      <c r="B168" s="2344"/>
      <c r="C168" s="1440">
        <v>2017</v>
      </c>
      <c r="D168" s="1441"/>
      <c r="E168" s="1377"/>
      <c r="F168" s="1441"/>
      <c r="G168" s="1441"/>
      <c r="H168" s="1441"/>
      <c r="I168" s="1441"/>
      <c r="J168" s="1442">
        <v>0</v>
      </c>
      <c r="K168" s="1341">
        <v>0</v>
      </c>
      <c r="L168" s="1254"/>
      <c r="M168" s="1254"/>
      <c r="N168" s="1254"/>
      <c r="O168" s="1254"/>
      <c r="P168" s="1254"/>
      <c r="Q168" s="1254"/>
      <c r="R168" s="1254"/>
    </row>
    <row r="169" spans="1:18" customFormat="1">
      <c r="A169" s="2344"/>
      <c r="B169" s="2344"/>
      <c r="C169" s="1443">
        <v>2018</v>
      </c>
      <c r="D169" s="1441"/>
      <c r="E169" s="1441"/>
      <c r="F169" s="1441"/>
      <c r="G169" s="1444"/>
      <c r="H169" s="1441"/>
      <c r="I169" s="1441"/>
      <c r="J169" s="1442">
        <v>0</v>
      </c>
      <c r="K169" s="1341">
        <v>0</v>
      </c>
      <c r="L169" s="1332"/>
      <c r="M169" s="1254"/>
      <c r="N169" s="1254"/>
      <c r="O169" s="1254"/>
      <c r="P169" s="1254"/>
      <c r="Q169" s="1254"/>
      <c r="R169" s="1254"/>
    </row>
    <row r="170" spans="1:18" customFormat="1">
      <c r="A170" s="2344"/>
      <c r="B170" s="2344"/>
      <c r="C170" s="1440">
        <v>2019</v>
      </c>
      <c r="D170" s="1377"/>
      <c r="E170" s="1441"/>
      <c r="F170" s="1441"/>
      <c r="G170" s="1441"/>
      <c r="H170" s="1444"/>
      <c r="I170" s="1441"/>
      <c r="J170" s="1442">
        <v>0</v>
      </c>
      <c r="K170" s="1341">
        <v>0</v>
      </c>
      <c r="L170" s="1332"/>
      <c r="M170" s="1254"/>
      <c r="N170" s="1254"/>
      <c r="O170" s="1254"/>
      <c r="P170" s="1254"/>
      <c r="Q170" s="1254"/>
      <c r="R170" s="1254"/>
    </row>
    <row r="171" spans="1:18" customFormat="1">
      <c r="A171" s="2344"/>
      <c r="B171" s="2344"/>
      <c r="C171" s="1443">
        <v>2020</v>
      </c>
      <c r="D171" s="1441"/>
      <c r="E171" s="1441"/>
      <c r="F171" s="1441"/>
      <c r="G171" s="1441"/>
      <c r="H171" s="1441"/>
      <c r="I171" s="1441"/>
      <c r="J171" s="1442">
        <v>0</v>
      </c>
      <c r="K171" s="1341">
        <v>0</v>
      </c>
      <c r="L171" s="1332"/>
      <c r="M171" s="1254"/>
      <c r="N171" s="1254"/>
      <c r="O171" s="1254"/>
      <c r="P171" s="1254"/>
      <c r="Q171" s="1254"/>
      <c r="R171" s="1254"/>
    </row>
    <row r="172" spans="1:18" customFormat="1" ht="41.25" customHeight="1">
      <c r="A172" s="2344"/>
      <c r="B172" s="2344"/>
      <c r="C172" s="1445" t="s">
        <v>13</v>
      </c>
      <c r="D172" s="1389">
        <v>0</v>
      </c>
      <c r="E172" s="1389">
        <v>0</v>
      </c>
      <c r="F172" s="1389">
        <v>0</v>
      </c>
      <c r="G172" s="1389">
        <v>0</v>
      </c>
      <c r="H172" s="1389">
        <v>0</v>
      </c>
      <c r="I172" s="1446">
        <v>0</v>
      </c>
      <c r="J172" s="1389">
        <v>0</v>
      </c>
      <c r="K172" s="1418">
        <v>0</v>
      </c>
      <c r="L172" s="1332"/>
      <c r="M172" s="1254"/>
      <c r="N172" s="1254"/>
      <c r="O172" s="1254"/>
      <c r="P172" s="1254"/>
      <c r="Q172" s="1254"/>
      <c r="R172" s="1254"/>
    </row>
    <row r="173" spans="1:18" s="1307" customFormat="1" ht="26.25" customHeight="1">
      <c r="A173" s="1447"/>
      <c r="B173" s="1321"/>
      <c r="C173" s="1322"/>
      <c r="D173" s="1278"/>
      <c r="E173" s="1278"/>
      <c r="F173" s="1278"/>
      <c r="G173" s="1404"/>
      <c r="H173" s="1404"/>
      <c r="I173" s="1404"/>
      <c r="J173" s="1404"/>
      <c r="K173" s="1404"/>
      <c r="L173" s="1404"/>
      <c r="M173" s="1404"/>
      <c r="N173" s="1404"/>
      <c r="O173" s="1404"/>
      <c r="P173" s="1404"/>
      <c r="Q173" s="1404"/>
      <c r="R173" s="1403"/>
    </row>
    <row r="174" spans="1:18" customFormat="1" ht="21">
      <c r="A174" s="1448" t="s">
        <v>126</v>
      </c>
      <c r="B174" s="1448"/>
      <c r="C174" s="1449"/>
      <c r="D174" s="1449"/>
      <c r="E174" s="1449"/>
      <c r="F174" s="1449"/>
      <c r="G174" s="1449"/>
      <c r="H174" s="1449"/>
      <c r="I174" s="1449"/>
      <c r="J174" s="1449"/>
      <c r="K174" s="1449"/>
      <c r="L174" s="1449"/>
      <c r="M174" s="1449"/>
      <c r="N174" s="1449"/>
      <c r="O174" s="1449"/>
      <c r="P174" s="1254"/>
      <c r="Q174" s="1254"/>
      <c r="R174" s="1254"/>
    </row>
    <row r="175" spans="1:18" customFormat="1" ht="21">
      <c r="A175" s="1450"/>
      <c r="B175" s="1450"/>
      <c r="C175" s="1254"/>
      <c r="D175" s="1254"/>
      <c r="E175" s="1254"/>
      <c r="F175" s="1254"/>
      <c r="G175" s="1254"/>
      <c r="H175" s="1254"/>
      <c r="I175" s="1254"/>
      <c r="J175" s="1254"/>
      <c r="K175" s="1254"/>
      <c r="L175" s="1254"/>
      <c r="M175" s="1254"/>
      <c r="N175" s="1254"/>
      <c r="O175" s="1254"/>
      <c r="P175" s="1254"/>
      <c r="Q175" s="1254"/>
      <c r="R175" s="1254"/>
    </row>
    <row r="176" spans="1:18" s="1274" customFormat="1" ht="22.5" customHeight="1">
      <c r="A176" s="2345" t="s">
        <v>127</v>
      </c>
      <c r="B176" s="2339" t="s">
        <v>367</v>
      </c>
      <c r="C176" s="2340" t="s">
        <v>9</v>
      </c>
      <c r="D176" s="2340" t="s">
        <v>138</v>
      </c>
      <c r="E176" s="2340"/>
      <c r="F176" s="2340"/>
      <c r="G176" s="2340"/>
      <c r="H176" s="1451"/>
      <c r="I176" s="2336" t="s">
        <v>129</v>
      </c>
      <c r="J176" s="2336"/>
      <c r="K176" s="2336"/>
      <c r="L176" s="2336"/>
      <c r="M176" s="2336"/>
      <c r="N176" s="2336"/>
      <c r="O176" s="2336"/>
    </row>
    <row r="177" spans="1:15" s="1274" customFormat="1" ht="129.75" customHeight="1">
      <c r="A177" s="2345"/>
      <c r="B177" s="2339"/>
      <c r="C177" s="2340"/>
      <c r="D177" s="1452" t="s">
        <v>130</v>
      </c>
      <c r="E177" s="1453" t="s">
        <v>131</v>
      </c>
      <c r="F177" s="1453" t="s">
        <v>132</v>
      </c>
      <c r="G177" s="1454" t="s">
        <v>133</v>
      </c>
      <c r="H177" s="1455" t="s">
        <v>134</v>
      </c>
      <c r="I177" s="1456" t="s">
        <v>359</v>
      </c>
      <c r="J177" s="1457" t="s">
        <v>60</v>
      </c>
      <c r="K177" s="1457" t="s">
        <v>61</v>
      </c>
      <c r="L177" s="1457" t="s">
        <v>62</v>
      </c>
      <c r="M177" s="1457" t="s">
        <v>63</v>
      </c>
      <c r="N177" s="1457" t="s">
        <v>64</v>
      </c>
      <c r="O177" s="1457" t="s">
        <v>65</v>
      </c>
    </row>
    <row r="178" spans="1:15" customFormat="1" ht="15" customHeight="1">
      <c r="A178" s="2337" t="s">
        <v>368</v>
      </c>
      <c r="B178" s="2337"/>
      <c r="C178" s="1314">
        <v>2014</v>
      </c>
      <c r="D178" s="1276"/>
      <c r="E178" s="1275"/>
      <c r="F178" s="1275"/>
      <c r="G178" s="1341">
        <v>0</v>
      </c>
      <c r="H178" s="1369"/>
      <c r="I178" s="1369"/>
      <c r="J178" s="1275"/>
      <c r="K178" s="1275"/>
      <c r="L178" s="1275"/>
      <c r="M178" s="1275"/>
      <c r="N178" s="1275"/>
      <c r="O178" s="1275"/>
    </row>
    <row r="179" spans="1:15" customFormat="1">
      <c r="A179" s="2337"/>
      <c r="B179" s="2337"/>
      <c r="C179" s="1315">
        <v>2015</v>
      </c>
      <c r="D179" s="1280">
        <v>7</v>
      </c>
      <c r="E179" s="1279">
        <v>3</v>
      </c>
      <c r="F179" s="1279">
        <v>0</v>
      </c>
      <c r="G179" s="1341">
        <f>SUM(D179:F179)</f>
        <v>10</v>
      </c>
      <c r="H179" s="1458">
        <v>30</v>
      </c>
      <c r="I179" s="1335">
        <v>8</v>
      </c>
      <c r="J179" s="1279">
        <v>0</v>
      </c>
      <c r="K179" s="1279">
        <v>0</v>
      </c>
      <c r="L179" s="1279">
        <v>0</v>
      </c>
      <c r="M179" s="1279">
        <v>0</v>
      </c>
      <c r="N179" s="1279">
        <v>0</v>
      </c>
      <c r="O179" s="1279">
        <v>2</v>
      </c>
    </row>
    <row r="180" spans="1:15" customFormat="1">
      <c r="A180" s="2337"/>
      <c r="B180" s="2337"/>
      <c r="C180" s="1315">
        <v>2016</v>
      </c>
      <c r="D180" s="1282">
        <v>2</v>
      </c>
      <c r="E180" s="1279">
        <v>3</v>
      </c>
      <c r="F180" s="1279">
        <v>10</v>
      </c>
      <c r="G180" s="1341">
        <f>SUM(D180:F180)</f>
        <v>15</v>
      </c>
      <c r="H180" s="1458">
        <v>36</v>
      </c>
      <c r="I180" s="1335">
        <v>0</v>
      </c>
      <c r="J180" s="1279">
        <v>0</v>
      </c>
      <c r="K180" s="1279">
        <v>0</v>
      </c>
      <c r="L180" s="1279">
        <v>0</v>
      </c>
      <c r="M180" s="1279">
        <v>1</v>
      </c>
      <c r="N180" s="1279">
        <v>0</v>
      </c>
      <c r="O180" s="1279">
        <v>14</v>
      </c>
    </row>
    <row r="181" spans="1:15" customFormat="1">
      <c r="A181" s="2337"/>
      <c r="B181" s="2337"/>
      <c r="C181" s="1315">
        <v>2017</v>
      </c>
      <c r="D181" s="1282">
        <v>7</v>
      </c>
      <c r="E181" s="1279">
        <v>4</v>
      </c>
      <c r="F181" s="1279">
        <v>4</v>
      </c>
      <c r="G181" s="1341">
        <v>15</v>
      </c>
      <c r="H181" s="1458">
        <v>32</v>
      </c>
      <c r="I181" s="1335">
        <v>3</v>
      </c>
      <c r="J181" s="1279">
        <v>2</v>
      </c>
      <c r="K181" s="1279">
        <v>0</v>
      </c>
      <c r="L181" s="1279">
        <v>1</v>
      </c>
      <c r="M181" s="1279">
        <v>6</v>
      </c>
      <c r="N181" s="1279">
        <v>0</v>
      </c>
      <c r="O181" s="1279">
        <v>3</v>
      </c>
    </row>
    <row r="182" spans="1:15" customFormat="1">
      <c r="A182" s="2337"/>
      <c r="B182" s="2337"/>
      <c r="C182" s="1315">
        <v>2018</v>
      </c>
      <c r="D182" s="1282"/>
      <c r="E182" s="1279"/>
      <c r="F182" s="1279"/>
      <c r="G182" s="1341">
        <v>0</v>
      </c>
      <c r="H182" s="1458"/>
      <c r="I182" s="1335"/>
      <c r="J182" s="1279"/>
      <c r="K182" s="1279"/>
      <c r="L182" s="1279"/>
      <c r="M182" s="1279"/>
      <c r="N182" s="1279"/>
      <c r="O182" s="1279"/>
    </row>
    <row r="183" spans="1:15" customFormat="1">
      <c r="A183" s="2337"/>
      <c r="B183" s="2337"/>
      <c r="C183" s="1315">
        <v>2019</v>
      </c>
      <c r="D183" s="1282"/>
      <c r="E183" s="1279"/>
      <c r="F183" s="1279"/>
      <c r="G183" s="1341">
        <v>0</v>
      </c>
      <c r="H183" s="1458"/>
      <c r="I183" s="1335"/>
      <c r="J183" s="1279"/>
      <c r="K183" s="1279"/>
      <c r="L183" s="1279"/>
      <c r="M183" s="1279"/>
      <c r="N183" s="1279"/>
      <c r="O183" s="1279"/>
    </row>
    <row r="184" spans="1:15" customFormat="1">
      <c r="A184" s="2337"/>
      <c r="B184" s="2337"/>
      <c r="C184" s="1315">
        <v>2020</v>
      </c>
      <c r="D184" s="1282"/>
      <c r="E184" s="1279"/>
      <c r="F184" s="1279"/>
      <c r="G184" s="1341">
        <v>0</v>
      </c>
      <c r="H184" s="1458"/>
      <c r="I184" s="1335"/>
      <c r="J184" s="1279"/>
      <c r="K184" s="1279"/>
      <c r="L184" s="1279"/>
      <c r="M184" s="1279"/>
      <c r="N184" s="1279"/>
      <c r="O184" s="1279"/>
    </row>
    <row r="185" spans="1:15" customFormat="1" ht="45" customHeight="1">
      <c r="A185" s="2337"/>
      <c r="B185" s="2337"/>
      <c r="C185" s="1338" t="s">
        <v>13</v>
      </c>
      <c r="D185" s="1355">
        <f t="shared" ref="D185:O185" si="3">SUM(D179:D184)</f>
        <v>16</v>
      </c>
      <c r="E185" s="1341">
        <f t="shared" si="3"/>
        <v>10</v>
      </c>
      <c r="F185" s="1341">
        <f t="shared" si="3"/>
        <v>14</v>
      </c>
      <c r="G185" s="1341">
        <f t="shared" si="3"/>
        <v>40</v>
      </c>
      <c r="H185" s="1351">
        <f t="shared" si="3"/>
        <v>98</v>
      </c>
      <c r="I185" s="1340">
        <f t="shared" si="3"/>
        <v>11</v>
      </c>
      <c r="J185" s="1341">
        <f t="shared" si="3"/>
        <v>2</v>
      </c>
      <c r="K185" s="1341">
        <f t="shared" si="3"/>
        <v>0</v>
      </c>
      <c r="L185" s="1341">
        <f t="shared" si="3"/>
        <v>1</v>
      </c>
      <c r="M185" s="1341">
        <f t="shared" si="3"/>
        <v>7</v>
      </c>
      <c r="N185" s="1341">
        <f t="shared" si="3"/>
        <v>0</v>
      </c>
      <c r="O185" s="1341">
        <f t="shared" si="3"/>
        <v>19</v>
      </c>
    </row>
    <row r="186" spans="1:15" customFormat="1" ht="33" customHeight="1">
      <c r="A186" s="1254"/>
      <c r="B186" s="1254"/>
      <c r="C186" s="1254"/>
      <c r="D186" s="1254"/>
      <c r="E186" s="1254"/>
      <c r="F186" s="1254"/>
      <c r="G186" s="1254"/>
      <c r="H186" s="1254"/>
      <c r="I186" s="1254"/>
      <c r="J186" s="1254"/>
      <c r="K186" s="1254"/>
      <c r="L186" s="1254"/>
      <c r="M186" s="1254"/>
      <c r="N186" s="1254"/>
      <c r="O186" s="1254"/>
    </row>
    <row r="187" spans="1:15" customFormat="1" ht="19.5" customHeight="1">
      <c r="A187" s="2338" t="s">
        <v>137</v>
      </c>
      <c r="B187" s="2339" t="s">
        <v>367</v>
      </c>
      <c r="C187" s="2340" t="s">
        <v>9</v>
      </c>
      <c r="D187" s="2341" t="s">
        <v>138</v>
      </c>
      <c r="E187" s="2341"/>
      <c r="F187" s="2341"/>
      <c r="G187" s="2341"/>
      <c r="H187" s="2342" t="s">
        <v>139</v>
      </c>
      <c r="I187" s="2342"/>
      <c r="J187" s="2342"/>
      <c r="K187" s="2342"/>
      <c r="L187" s="2342"/>
      <c r="M187" s="1254"/>
      <c r="N187" s="1254"/>
      <c r="O187" s="1254"/>
    </row>
    <row r="188" spans="1:15" customFormat="1" ht="77.25">
      <c r="A188" s="2338"/>
      <c r="B188" s="2339"/>
      <c r="C188" s="2340"/>
      <c r="D188" s="1457" t="s">
        <v>140</v>
      </c>
      <c r="E188" s="1457" t="s">
        <v>141</v>
      </c>
      <c r="F188" s="1457" t="s">
        <v>142</v>
      </c>
      <c r="G188" s="1459" t="s">
        <v>13</v>
      </c>
      <c r="H188" s="1460" t="s">
        <v>143</v>
      </c>
      <c r="I188" s="1457" t="s">
        <v>144</v>
      </c>
      <c r="J188" s="1457" t="s">
        <v>145</v>
      </c>
      <c r="K188" s="1457" t="s">
        <v>369</v>
      </c>
      <c r="L188" s="1457" t="s">
        <v>147</v>
      </c>
      <c r="M188" s="1254"/>
      <c r="N188" s="1254"/>
      <c r="O188" s="1254"/>
    </row>
    <row r="189" spans="1:15" customFormat="1" ht="15" customHeight="1">
      <c r="A189" s="2329" t="s">
        <v>370</v>
      </c>
      <c r="B189" s="2330"/>
      <c r="C189" s="1461">
        <v>2014</v>
      </c>
      <c r="D189" s="1352"/>
      <c r="E189" s="1334"/>
      <c r="F189" s="1334"/>
      <c r="G189" s="1462">
        <v>0</v>
      </c>
      <c r="H189" s="1333"/>
      <c r="I189" s="1334"/>
      <c r="J189" s="1334"/>
      <c r="K189" s="1334"/>
      <c r="L189" s="1334"/>
      <c r="M189" s="1254"/>
      <c r="N189" s="1254"/>
      <c r="O189" s="1254"/>
    </row>
    <row r="190" spans="1:15" customFormat="1">
      <c r="A190" s="2330"/>
      <c r="B190" s="2330"/>
      <c r="C190" s="1315">
        <v>2015</v>
      </c>
      <c r="D190" s="1282">
        <v>329</v>
      </c>
      <c r="E190" s="1279">
        <v>97</v>
      </c>
      <c r="F190" s="1279">
        <v>0</v>
      </c>
      <c r="G190" s="1462">
        <v>426</v>
      </c>
      <c r="H190" s="1335">
        <v>0</v>
      </c>
      <c r="I190" s="1279">
        <v>50</v>
      </c>
      <c r="J190" s="1279">
        <v>0</v>
      </c>
      <c r="K190" s="1279">
        <v>376</v>
      </c>
      <c r="L190" s="1279">
        <v>0</v>
      </c>
      <c r="M190" s="1254"/>
      <c r="N190" s="1254"/>
      <c r="O190" s="1254"/>
    </row>
    <row r="191" spans="1:15" customFormat="1">
      <c r="A191" s="2330"/>
      <c r="B191" s="2330"/>
      <c r="C191" s="1315">
        <v>2016</v>
      </c>
      <c r="D191" s="1282">
        <v>69</v>
      </c>
      <c r="E191" s="1279">
        <v>110</v>
      </c>
      <c r="F191" s="1279">
        <v>378</v>
      </c>
      <c r="G191" s="1462">
        <f>SUM(D191:F191)</f>
        <v>557</v>
      </c>
      <c r="H191" s="1335">
        <v>0</v>
      </c>
      <c r="I191" s="1279">
        <v>94</v>
      </c>
      <c r="J191" s="1279">
        <v>6</v>
      </c>
      <c r="K191" s="1279">
        <v>0</v>
      </c>
      <c r="L191" s="1279">
        <v>457</v>
      </c>
      <c r="M191" s="1254"/>
      <c r="N191" s="1254"/>
      <c r="O191" s="1254"/>
    </row>
    <row r="192" spans="1:15" customFormat="1">
      <c r="A192" s="2330"/>
      <c r="B192" s="2330"/>
      <c r="C192" s="1315">
        <v>2017</v>
      </c>
      <c r="D192" s="1282">
        <v>229</v>
      </c>
      <c r="E192" s="1279">
        <v>130</v>
      </c>
      <c r="F192" s="1279">
        <v>160</v>
      </c>
      <c r="G192" s="1462">
        <v>519</v>
      </c>
      <c r="H192" s="1335">
        <v>0</v>
      </c>
      <c r="I192" s="1279">
        <v>162</v>
      </c>
      <c r="J192" s="1279">
        <v>4</v>
      </c>
      <c r="K192" s="1279">
        <v>0</v>
      </c>
      <c r="L192" s="1279">
        <v>353</v>
      </c>
      <c r="M192" s="1254"/>
      <c r="N192" s="1254"/>
      <c r="O192" s="1254"/>
    </row>
    <row r="193" spans="1:14" customFormat="1">
      <c r="A193" s="2330"/>
      <c r="B193" s="2330"/>
      <c r="C193" s="1315">
        <v>2018</v>
      </c>
      <c r="D193" s="1282"/>
      <c r="E193" s="1279"/>
      <c r="F193" s="1279"/>
      <c r="G193" s="1462">
        <v>0</v>
      </c>
      <c r="H193" s="1335"/>
      <c r="I193" s="1279"/>
      <c r="J193" s="1279"/>
      <c r="K193" s="1279"/>
      <c r="L193" s="1279"/>
      <c r="M193" s="1254"/>
      <c r="N193" s="1254"/>
    </row>
    <row r="194" spans="1:14" customFormat="1">
      <c r="A194" s="2330"/>
      <c r="B194" s="2330"/>
      <c r="C194" s="1315">
        <v>2019</v>
      </c>
      <c r="D194" s="1282"/>
      <c r="E194" s="1279"/>
      <c r="F194" s="1279"/>
      <c r="G194" s="1462">
        <v>0</v>
      </c>
      <c r="H194" s="1335"/>
      <c r="I194" s="1279"/>
      <c r="J194" s="1279"/>
      <c r="K194" s="1279"/>
      <c r="L194" s="1279"/>
      <c r="M194" s="1254"/>
      <c r="N194" s="1254"/>
    </row>
    <row r="195" spans="1:14" customFormat="1">
      <c r="A195" s="2330"/>
      <c r="B195" s="2330"/>
      <c r="C195" s="1315">
        <v>2020</v>
      </c>
      <c r="D195" s="1282"/>
      <c r="E195" s="1279"/>
      <c r="F195" s="1279"/>
      <c r="G195" s="1462">
        <v>0</v>
      </c>
      <c r="H195" s="1335"/>
      <c r="I195" s="1279"/>
      <c r="J195" s="1279"/>
      <c r="K195" s="1279"/>
      <c r="L195" s="1279"/>
      <c r="M195" s="1254"/>
      <c r="N195" s="1254"/>
    </row>
    <row r="196" spans="1:14" customFormat="1" ht="28.5" customHeight="1">
      <c r="A196" s="2330"/>
      <c r="B196" s="2330"/>
      <c r="C196" s="1338" t="s">
        <v>13</v>
      </c>
      <c r="D196" s="1355">
        <f>SUM(D190:D195)</f>
        <v>627</v>
      </c>
      <c r="E196" s="1341">
        <f>SUM(E190:E195)</f>
        <v>337</v>
      </c>
      <c r="F196" s="1341">
        <f>SUM(F190:F195)</f>
        <v>538</v>
      </c>
      <c r="G196" s="1463">
        <f>SUM(G189:G195)</f>
        <v>1502</v>
      </c>
      <c r="H196" s="1340">
        <f>SUM(H190:H195)</f>
        <v>0</v>
      </c>
      <c r="I196" s="1341">
        <f>SUM(I190:I195)</f>
        <v>306</v>
      </c>
      <c r="J196" s="1341">
        <f>SUM(J190:J195)</f>
        <v>10</v>
      </c>
      <c r="K196" s="1341">
        <f>SUM(K190:K195)</f>
        <v>376</v>
      </c>
      <c r="L196" s="1341">
        <f>SUM(L190:L195)</f>
        <v>810</v>
      </c>
      <c r="M196" s="1254"/>
      <c r="N196" s="1254"/>
    </row>
    <row r="197" spans="1:14" customFormat="1">
      <c r="A197" s="1254"/>
      <c r="B197" s="1254"/>
      <c r="C197" s="1254"/>
      <c r="D197" s="1254"/>
      <c r="E197" s="1254"/>
      <c r="F197" s="1254"/>
      <c r="G197" s="1254"/>
      <c r="H197" s="1254"/>
      <c r="I197" s="1254"/>
      <c r="J197" s="1254"/>
      <c r="K197" s="1254"/>
      <c r="L197" s="1254"/>
      <c r="M197" s="1254"/>
      <c r="N197" s="1254"/>
    </row>
    <row r="198" spans="1:14" customFormat="1">
      <c r="A198" s="1254"/>
      <c r="B198" s="1254"/>
      <c r="C198" s="1254"/>
      <c r="D198" s="1254"/>
      <c r="E198" s="1254"/>
      <c r="F198" s="1254"/>
      <c r="G198" s="1254"/>
      <c r="H198" s="1254"/>
      <c r="I198" s="1254"/>
      <c r="J198" s="1254"/>
      <c r="K198" s="1254"/>
      <c r="L198" s="1254"/>
      <c r="M198" s="1254"/>
      <c r="N198" s="1254"/>
    </row>
    <row r="199" spans="1:14" customFormat="1" ht="21">
      <c r="A199" s="1464" t="s">
        <v>149</v>
      </c>
      <c r="B199" s="1464"/>
      <c r="C199" s="1465"/>
      <c r="D199" s="1465"/>
      <c r="E199" s="1465"/>
      <c r="F199" s="1465"/>
      <c r="G199" s="1465"/>
      <c r="H199" s="1465"/>
      <c r="I199" s="1465"/>
      <c r="J199" s="1465"/>
      <c r="K199" s="1465"/>
      <c r="L199" s="1465"/>
      <c r="M199" s="1307"/>
      <c r="N199" s="1307"/>
    </row>
    <row r="200" spans="1:14" customFormat="1" ht="10.5" customHeight="1">
      <c r="A200" s="1466"/>
      <c r="B200" s="1466"/>
      <c r="C200" s="1465"/>
      <c r="D200" s="1465"/>
      <c r="E200" s="1465"/>
      <c r="F200" s="1465"/>
      <c r="G200" s="1465"/>
      <c r="H200" s="1465"/>
      <c r="I200" s="1465"/>
      <c r="J200" s="1465"/>
      <c r="K200" s="1465"/>
      <c r="L200" s="1465"/>
      <c r="M200" s="1254"/>
      <c r="N200" s="1254"/>
    </row>
    <row r="201" spans="1:14" s="1274" customFormat="1" ht="101.25" customHeight="1">
      <c r="A201" s="1467" t="s">
        <v>371</v>
      </c>
      <c r="B201" s="1468" t="s">
        <v>367</v>
      </c>
      <c r="C201" s="1469" t="s">
        <v>9</v>
      </c>
      <c r="D201" s="1470" t="s">
        <v>151</v>
      </c>
      <c r="E201" s="1469" t="s">
        <v>152</v>
      </c>
      <c r="F201" s="1469" t="s">
        <v>153</v>
      </c>
      <c r="G201" s="1469" t="s">
        <v>154</v>
      </c>
      <c r="H201" s="1471" t="s">
        <v>155</v>
      </c>
      <c r="I201" s="1469" t="s">
        <v>156</v>
      </c>
      <c r="J201" s="1469" t="s">
        <v>157</v>
      </c>
      <c r="K201" s="1469" t="s">
        <v>158</v>
      </c>
      <c r="L201" s="1469" t="s">
        <v>159</v>
      </c>
    </row>
    <row r="202" spans="1:14" customFormat="1" ht="15" customHeight="1">
      <c r="A202" s="2331" t="s">
        <v>372</v>
      </c>
      <c r="B202" s="2332"/>
      <c r="C202" s="1314">
        <v>2014</v>
      </c>
      <c r="D202" s="1276"/>
      <c r="E202" s="1275"/>
      <c r="F202" s="1275"/>
      <c r="G202" s="1275"/>
      <c r="H202" s="1472"/>
      <c r="I202" s="1275"/>
      <c r="J202" s="1275"/>
      <c r="K202" s="1275"/>
      <c r="L202" s="1275"/>
      <c r="M202" s="1254"/>
      <c r="N202" s="1254"/>
    </row>
    <row r="203" spans="1:14" customFormat="1">
      <c r="A203" s="2332"/>
      <c r="B203" s="2332"/>
      <c r="C203" s="1315">
        <v>2015</v>
      </c>
      <c r="D203" s="1282">
        <v>0</v>
      </c>
      <c r="E203" s="1279">
        <v>0</v>
      </c>
      <c r="F203" s="1279">
        <v>0</v>
      </c>
      <c r="G203" s="1279">
        <v>0</v>
      </c>
      <c r="H203" s="1473">
        <v>0</v>
      </c>
      <c r="I203" s="1279">
        <v>0</v>
      </c>
      <c r="J203" s="1279">
        <v>0</v>
      </c>
      <c r="K203" s="1279">
        <v>0</v>
      </c>
      <c r="L203" s="1279">
        <v>0</v>
      </c>
      <c r="M203" s="1254"/>
      <c r="N203" s="1254"/>
    </row>
    <row r="204" spans="1:14" customFormat="1">
      <c r="A204" s="2332"/>
      <c r="B204" s="2332"/>
      <c r="C204" s="1315">
        <v>2016</v>
      </c>
      <c r="D204" s="1282">
        <v>1</v>
      </c>
      <c r="E204" s="1279">
        <v>9</v>
      </c>
      <c r="F204" s="1279">
        <v>5</v>
      </c>
      <c r="G204" s="1279">
        <v>1</v>
      </c>
      <c r="H204" s="1473">
        <v>4</v>
      </c>
      <c r="I204" s="1279">
        <v>0</v>
      </c>
      <c r="J204" s="1279">
        <v>1</v>
      </c>
      <c r="K204" s="1279">
        <v>50</v>
      </c>
      <c r="L204" s="1279">
        <v>0</v>
      </c>
      <c r="M204" s="1254"/>
      <c r="N204" s="1254"/>
    </row>
    <row r="205" spans="1:14" customFormat="1">
      <c r="A205" s="2332"/>
      <c r="B205" s="2332"/>
      <c r="C205" s="1315">
        <v>2017</v>
      </c>
      <c r="D205" s="1282">
        <v>1</v>
      </c>
      <c r="E205" s="1279">
        <v>7</v>
      </c>
      <c r="F205" s="1279">
        <v>3</v>
      </c>
      <c r="G205" s="1279">
        <v>2</v>
      </c>
      <c r="H205" s="1473">
        <v>3</v>
      </c>
      <c r="I205" s="1279">
        <v>0</v>
      </c>
      <c r="J205" s="1279">
        <v>1</v>
      </c>
      <c r="K205" s="1279">
        <v>50</v>
      </c>
      <c r="L205" s="1279">
        <v>0</v>
      </c>
      <c r="M205" s="1254"/>
      <c r="N205" s="1254"/>
    </row>
    <row r="206" spans="1:14" customFormat="1">
      <c r="A206" s="2332"/>
      <c r="B206" s="2332"/>
      <c r="C206" s="1315">
        <v>2018</v>
      </c>
      <c r="D206" s="1282"/>
      <c r="E206" s="1279"/>
      <c r="F206" s="1279"/>
      <c r="G206" s="1279"/>
      <c r="H206" s="1473"/>
      <c r="I206" s="1279"/>
      <c r="J206" s="1279"/>
      <c r="K206" s="1279"/>
      <c r="L206" s="1279"/>
      <c r="M206" s="1254"/>
      <c r="N206" s="1254"/>
    </row>
    <row r="207" spans="1:14" customFormat="1">
      <c r="A207" s="2332"/>
      <c r="B207" s="2332"/>
      <c r="C207" s="1315">
        <v>2019</v>
      </c>
      <c r="D207" s="1282"/>
      <c r="E207" s="1279"/>
      <c r="F207" s="1279"/>
      <c r="G207" s="1279"/>
      <c r="H207" s="1473"/>
      <c r="I207" s="1279"/>
      <c r="J207" s="1279"/>
      <c r="K207" s="1279"/>
      <c r="L207" s="1279"/>
      <c r="M207" s="1254"/>
      <c r="N207" s="1254"/>
    </row>
    <row r="208" spans="1:14" customFormat="1">
      <c r="A208" s="2332"/>
      <c r="B208" s="2332"/>
      <c r="C208" s="1315">
        <v>2020</v>
      </c>
      <c r="D208" s="1474"/>
      <c r="E208" s="1475"/>
      <c r="F208" s="1475"/>
      <c r="G208" s="1475"/>
      <c r="H208" s="1476"/>
      <c r="I208" s="1475"/>
      <c r="J208" s="1475"/>
      <c r="K208" s="1475"/>
      <c r="L208" s="1475"/>
      <c r="M208" s="1254"/>
      <c r="N208" s="1254"/>
    </row>
    <row r="209" spans="1:12" customFormat="1" ht="20.25" customHeight="1">
      <c r="A209" s="2332"/>
      <c r="B209" s="2332"/>
      <c r="C209" s="1338" t="s">
        <v>13</v>
      </c>
      <c r="D209" s="1355">
        <v>0</v>
      </c>
      <c r="E209" s="1355">
        <v>9</v>
      </c>
      <c r="F209" s="1355">
        <v>5</v>
      </c>
      <c r="G209" s="1355">
        <v>1</v>
      </c>
      <c r="H209" s="1355">
        <v>4</v>
      </c>
      <c r="I209" s="1355">
        <v>0</v>
      </c>
      <c r="J209" s="1355">
        <v>0</v>
      </c>
      <c r="K209" s="1355">
        <v>1</v>
      </c>
      <c r="L209" s="1355">
        <v>0</v>
      </c>
    </row>
    <row r="210" spans="1:12" customFormat="1">
      <c r="A210" s="1254"/>
      <c r="B210" s="1254"/>
      <c r="C210" s="1254"/>
      <c r="D210" s="1254"/>
      <c r="E210" s="1254"/>
      <c r="F210" s="1254"/>
      <c r="G210" s="1254"/>
      <c r="H210" s="1254"/>
      <c r="I210" s="1254"/>
      <c r="J210" s="1254"/>
      <c r="K210" s="1254"/>
      <c r="L210" s="1254"/>
    </row>
    <row r="211" spans="1:12" customFormat="1">
      <c r="A211" s="1254"/>
      <c r="B211" s="1254"/>
      <c r="C211" s="1254"/>
      <c r="D211" s="1254"/>
      <c r="E211" s="1254"/>
      <c r="F211" s="1254"/>
      <c r="G211" s="1254"/>
      <c r="H211" s="1254"/>
      <c r="I211" s="1254"/>
      <c r="J211" s="1254"/>
      <c r="K211" s="1254"/>
      <c r="L211" s="1254"/>
    </row>
    <row r="212" spans="1:12" customFormat="1" ht="29.25">
      <c r="A212" s="1477" t="s">
        <v>373</v>
      </c>
      <c r="B212" s="1478" t="s">
        <v>374</v>
      </c>
      <c r="C212" s="1379">
        <v>2014</v>
      </c>
      <c r="D212" s="1379">
        <v>2015</v>
      </c>
      <c r="E212" s="1379">
        <v>2016</v>
      </c>
      <c r="F212" s="1379">
        <v>2017</v>
      </c>
      <c r="G212" s="1379">
        <v>2018</v>
      </c>
      <c r="H212" s="1379">
        <v>2019</v>
      </c>
      <c r="I212" s="1379">
        <v>2020</v>
      </c>
      <c r="J212" s="1254"/>
      <c r="K212" s="1254"/>
      <c r="L212" s="1254"/>
    </row>
    <row r="213" spans="1:12" customFormat="1" ht="15" customHeight="1">
      <c r="A213" s="1254" t="s">
        <v>163</v>
      </c>
      <c r="B213" s="2333" t="s">
        <v>375</v>
      </c>
      <c r="C213" s="1314"/>
      <c r="D213" s="1479">
        <v>376156.74</v>
      </c>
      <c r="E213" s="1479">
        <v>807897.95</v>
      </c>
      <c r="F213" s="1479">
        <v>724658.1</v>
      </c>
      <c r="G213" s="1315"/>
      <c r="H213" s="1315"/>
      <c r="I213" s="1315"/>
      <c r="J213" s="1254"/>
      <c r="K213" s="1254"/>
      <c r="L213" s="1254"/>
    </row>
    <row r="214" spans="1:12" customFormat="1">
      <c r="A214" s="1254" t="s">
        <v>164</v>
      </c>
      <c r="B214" s="2334"/>
      <c r="C214" s="1314"/>
      <c r="D214" s="1480">
        <v>113565.55</v>
      </c>
      <c r="E214" s="1480">
        <v>475299.6</v>
      </c>
      <c r="F214" s="1480">
        <v>371387.13</v>
      </c>
      <c r="G214" s="1315"/>
      <c r="H214" s="1315"/>
      <c r="I214" s="1315"/>
      <c r="J214" s="1254"/>
      <c r="K214" s="1254"/>
      <c r="L214" s="1254"/>
    </row>
    <row r="215" spans="1:12" customFormat="1">
      <c r="A215" s="1254" t="s">
        <v>165</v>
      </c>
      <c r="B215" s="2334"/>
      <c r="C215" s="1314"/>
      <c r="D215" s="1480">
        <v>4920</v>
      </c>
      <c r="E215" s="1480">
        <v>19680</v>
      </c>
      <c r="F215" s="1481">
        <v>0</v>
      </c>
      <c r="G215" s="1315"/>
      <c r="H215" s="1315"/>
      <c r="I215" s="1315"/>
      <c r="J215" s="1254"/>
      <c r="K215" s="1254"/>
      <c r="L215" s="1254"/>
    </row>
    <row r="216" spans="1:12" customFormat="1">
      <c r="A216" s="1254" t="s">
        <v>166</v>
      </c>
      <c r="B216" s="2334"/>
      <c r="C216" s="1314"/>
      <c r="D216" s="1480">
        <v>26129.25</v>
      </c>
      <c r="E216" s="1480">
        <v>69804.259999999995</v>
      </c>
      <c r="F216" s="1480">
        <v>31365.22</v>
      </c>
      <c r="G216" s="1315"/>
      <c r="H216" s="1315"/>
      <c r="I216" s="1315"/>
      <c r="J216" s="1254"/>
      <c r="K216" s="1254"/>
      <c r="L216" s="1254"/>
    </row>
    <row r="217" spans="1:12" customFormat="1">
      <c r="A217" s="1254" t="s">
        <v>167</v>
      </c>
      <c r="B217" s="2334"/>
      <c r="C217" s="1314"/>
      <c r="D217" s="1480">
        <v>231541.94</v>
      </c>
      <c r="E217" s="1480">
        <v>243114.09</v>
      </c>
      <c r="F217" s="1480">
        <v>321905.75</v>
      </c>
      <c r="G217" s="1315"/>
      <c r="H217" s="1315"/>
      <c r="I217" s="1315"/>
      <c r="J217" s="1254"/>
      <c r="K217" s="1254"/>
      <c r="L217" s="1254"/>
    </row>
    <row r="218" spans="1:12" customFormat="1" ht="29.25">
      <c r="A218" s="1274" t="s">
        <v>168</v>
      </c>
      <c r="B218" s="2334"/>
      <c r="C218" s="1314"/>
      <c r="D218" s="1482">
        <v>144666.1</v>
      </c>
      <c r="E218" s="1482">
        <v>361553.52</v>
      </c>
      <c r="F218" s="1482">
        <v>374507.71</v>
      </c>
      <c r="G218" s="1315"/>
      <c r="H218" s="1315"/>
      <c r="I218" s="1315"/>
      <c r="J218" s="1254"/>
      <c r="K218" s="1254"/>
      <c r="L218" s="1254"/>
    </row>
    <row r="219" spans="1:12" customFormat="1" ht="409.5" customHeight="1">
      <c r="A219" s="1483"/>
      <c r="B219" s="2335"/>
      <c r="C219" s="1285" t="s">
        <v>13</v>
      </c>
      <c r="D219" s="1484">
        <f>SUM(D213,D218)</f>
        <v>520822.83999999997</v>
      </c>
      <c r="E219" s="1484">
        <f>SUM(E213,E218)</f>
        <v>1169451.47</v>
      </c>
      <c r="F219" s="1484">
        <f>SUM(F213,F218)</f>
        <v>1099165.81</v>
      </c>
      <c r="G219" s="1285">
        <v>0</v>
      </c>
      <c r="H219" s="1285">
        <v>0</v>
      </c>
      <c r="I219" s="1285">
        <v>0</v>
      </c>
      <c r="J219" s="1254"/>
      <c r="K219" s="1254"/>
      <c r="L219" s="1254"/>
    </row>
    <row r="227" spans="1:1" customFormat="1">
      <c r="A227" s="1274"/>
    </row>
  </sheetData>
  <mergeCells count="66">
    <mergeCell ref="A17:B24"/>
    <mergeCell ref="B1:F1"/>
    <mergeCell ref="A3:E3"/>
    <mergeCell ref="F3:O3"/>
    <mergeCell ref="A4:O10"/>
    <mergeCell ref="D15:G15"/>
    <mergeCell ref="D26:G26"/>
    <mergeCell ref="A28:B35"/>
    <mergeCell ref="A40:B47"/>
    <mergeCell ref="A50:B58"/>
    <mergeCell ref="A60:A61"/>
    <mergeCell ref="C60:C61"/>
    <mergeCell ref="D60:D61"/>
    <mergeCell ref="E60:L60"/>
    <mergeCell ref="A62:B69"/>
    <mergeCell ref="A72:B79"/>
    <mergeCell ref="A85:B92"/>
    <mergeCell ref="A96:A97"/>
    <mergeCell ref="B96:B97"/>
    <mergeCell ref="E118:L118"/>
    <mergeCell ref="D96:E96"/>
    <mergeCell ref="F96:M96"/>
    <mergeCell ref="A98:B105"/>
    <mergeCell ref="A107:A108"/>
    <mergeCell ref="B107:B108"/>
    <mergeCell ref="C107:C108"/>
    <mergeCell ref="D107:D108"/>
    <mergeCell ref="E107:L107"/>
    <mergeCell ref="C96:C97"/>
    <mergeCell ref="A109:B116"/>
    <mergeCell ref="A118:A119"/>
    <mergeCell ref="B118:B119"/>
    <mergeCell ref="C118:C119"/>
    <mergeCell ref="D118:D119"/>
    <mergeCell ref="A120:B127"/>
    <mergeCell ref="A129:A130"/>
    <mergeCell ref="B129:B130"/>
    <mergeCell ref="D129:G129"/>
    <mergeCell ref="A131:B137"/>
    <mergeCell ref="J142:N142"/>
    <mergeCell ref="A144:B151"/>
    <mergeCell ref="A153:A154"/>
    <mergeCell ref="B153:B154"/>
    <mergeCell ref="C153:C154"/>
    <mergeCell ref="D153:G153"/>
    <mergeCell ref="H153:J153"/>
    <mergeCell ref="A142:A143"/>
    <mergeCell ref="B142:B143"/>
    <mergeCell ref="C142:C143"/>
    <mergeCell ref="D142:I142"/>
    <mergeCell ref="A155:B162"/>
    <mergeCell ref="A165:B172"/>
    <mergeCell ref="A176:A177"/>
    <mergeCell ref="B176:B177"/>
    <mergeCell ref="C176:C177"/>
    <mergeCell ref="A189:B196"/>
    <mergeCell ref="A202:B209"/>
    <mergeCell ref="B213:B219"/>
    <mergeCell ref="I176:O176"/>
    <mergeCell ref="A178:B185"/>
    <mergeCell ref="A187:A188"/>
    <mergeCell ref="B187:B188"/>
    <mergeCell ref="C187:C188"/>
    <mergeCell ref="D187:G187"/>
    <mergeCell ref="H187:L187"/>
    <mergeCell ref="D176:G17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C7" zoomScale="80" zoomScaleNormal="80" workbookViewId="0">
      <selection activeCell="K18" sqref="K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565</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586"/>
      <c r="B15" s="1587"/>
      <c r="C15" s="10"/>
      <c r="D15" s="2421" t="s">
        <v>5</v>
      </c>
      <c r="E15" s="2422"/>
      <c r="F15" s="2422"/>
      <c r="G15" s="2422"/>
      <c r="H15" s="1746"/>
      <c r="I15" s="12" t="s">
        <v>6</v>
      </c>
      <c r="J15" s="13"/>
      <c r="K15" s="13"/>
      <c r="L15" s="13"/>
      <c r="M15" s="13"/>
      <c r="N15" s="13"/>
      <c r="O15" s="14"/>
      <c r="P15" s="15"/>
      <c r="Q15" s="16"/>
      <c r="R15" s="17"/>
      <c r="S15" s="17"/>
      <c r="T15" s="17"/>
      <c r="U15" s="17"/>
      <c r="V15" s="17"/>
      <c r="W15" s="15"/>
      <c r="X15" s="15"/>
      <c r="Y15" s="16"/>
    </row>
    <row r="16" spans="1:25" s="56" customFormat="1" ht="129" customHeight="1">
      <c r="A16" s="153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408" t="s">
        <v>566</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378"/>
      <c r="B18" s="1855"/>
      <c r="C18" s="36">
        <v>2015</v>
      </c>
      <c r="D18" s="37">
        <v>7</v>
      </c>
      <c r="E18" s="38">
        <v>3</v>
      </c>
      <c r="F18" s="38">
        <v>1</v>
      </c>
      <c r="G18" s="32">
        <f>SUM(D18:F18)</f>
        <v>11</v>
      </c>
      <c r="H18" s="39"/>
      <c r="I18" s="345"/>
      <c r="J18" s="38"/>
      <c r="K18" s="578">
        <v>4</v>
      </c>
      <c r="L18" s="38">
        <v>2</v>
      </c>
      <c r="M18" s="38"/>
      <c r="N18" s="38"/>
      <c r="O18" s="40">
        <v>5</v>
      </c>
      <c r="P18" s="35"/>
      <c r="Q18" s="35"/>
      <c r="R18" s="35"/>
      <c r="S18" s="35"/>
      <c r="T18" s="35"/>
      <c r="U18" s="35"/>
      <c r="V18" s="35"/>
      <c r="W18" s="35"/>
      <c r="X18" s="35"/>
      <c r="Y18" s="35"/>
    </row>
    <row r="19" spans="1:25">
      <c r="A19" s="2378"/>
      <c r="B19" s="1855"/>
      <c r="C19" s="36">
        <v>2016</v>
      </c>
      <c r="D19" s="37">
        <v>20</v>
      </c>
      <c r="E19" s="38">
        <v>8</v>
      </c>
      <c r="F19" s="38">
        <v>1</v>
      </c>
      <c r="G19" s="32">
        <v>29</v>
      </c>
      <c r="H19" s="39"/>
      <c r="I19" s="38">
        <v>13</v>
      </c>
      <c r="J19" s="38"/>
      <c r="K19" s="38">
        <v>14</v>
      </c>
      <c r="L19" s="38"/>
      <c r="M19" s="38">
        <v>1</v>
      </c>
      <c r="N19" s="38"/>
      <c r="O19" s="1747">
        <v>1</v>
      </c>
      <c r="P19" s="35"/>
      <c r="Q19" s="35"/>
      <c r="R19" s="35"/>
      <c r="S19" s="35"/>
      <c r="T19" s="35"/>
      <c r="U19" s="35"/>
      <c r="V19" s="35"/>
      <c r="W19" s="35"/>
      <c r="X19" s="35"/>
      <c r="Y19" s="35"/>
    </row>
    <row r="20" spans="1:25">
      <c r="A20" s="2378"/>
      <c r="B20" s="1855"/>
      <c r="C20" s="36">
        <v>2017</v>
      </c>
      <c r="D20" s="37">
        <v>14</v>
      </c>
      <c r="E20" s="38"/>
      <c r="F20" s="38"/>
      <c r="G20" s="32">
        <f t="shared" si="0"/>
        <v>14</v>
      </c>
      <c r="H20" s="39">
        <v>2</v>
      </c>
      <c r="I20" s="38">
        <v>2</v>
      </c>
      <c r="J20" s="38"/>
      <c r="K20" s="38">
        <v>9</v>
      </c>
      <c r="L20" s="38"/>
      <c r="M20" s="38">
        <v>1</v>
      </c>
      <c r="N20" s="38"/>
      <c r="O20" s="40"/>
      <c r="P20" s="35"/>
      <c r="Q20" s="35"/>
      <c r="R20" s="35"/>
      <c r="S20" s="35"/>
      <c r="T20" s="35"/>
      <c r="U20" s="35"/>
      <c r="V20" s="35"/>
      <c r="W20" s="35"/>
      <c r="X20" s="35"/>
      <c r="Y20" s="35"/>
    </row>
    <row r="21" spans="1:25">
      <c r="A21" s="2378"/>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378"/>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378"/>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41</v>
      </c>
      <c r="E24" s="44">
        <f>SUM(E17:E23)</f>
        <v>11</v>
      </c>
      <c r="F24" s="44">
        <f>SUM(F17:F23)</f>
        <v>2</v>
      </c>
      <c r="G24" s="45">
        <f>SUM(D24:F24)</f>
        <v>54</v>
      </c>
      <c r="H24" s="46">
        <f>SUM(H17:H23)</f>
        <v>2</v>
      </c>
      <c r="I24" s="47">
        <f>SUM(I17:I23)</f>
        <v>15</v>
      </c>
      <c r="J24" s="47">
        <f t="shared" ref="J24:N24" si="1">SUM(J17:J23)</f>
        <v>0</v>
      </c>
      <c r="K24" s="47">
        <f t="shared" si="1"/>
        <v>27</v>
      </c>
      <c r="L24" s="47">
        <f t="shared" si="1"/>
        <v>2</v>
      </c>
      <c r="M24" s="47">
        <f t="shared" si="1"/>
        <v>2</v>
      </c>
      <c r="N24" s="47">
        <f t="shared" si="1"/>
        <v>0</v>
      </c>
      <c r="O24" s="48">
        <f>SUM(O17:O23)</f>
        <v>6</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586"/>
      <c r="B26" s="1587"/>
      <c r="C26" s="50"/>
      <c r="D26" s="2423" t="s">
        <v>5</v>
      </c>
      <c r="E26" s="2424"/>
      <c r="F26" s="2424"/>
      <c r="G26" s="2425"/>
      <c r="H26" s="15"/>
      <c r="I26" s="16"/>
      <c r="J26" s="17"/>
      <c r="K26" s="17"/>
      <c r="L26" s="17"/>
      <c r="M26" s="17"/>
      <c r="N26" s="17"/>
      <c r="O26" s="15"/>
      <c r="P26" s="15"/>
    </row>
    <row r="27" spans="1:25" s="56" customFormat="1" ht="93" customHeight="1">
      <c r="A27" s="171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416" t="s">
        <v>567</v>
      </c>
      <c r="B28" s="2014"/>
      <c r="C28" s="57">
        <v>2014</v>
      </c>
      <c r="D28" s="33"/>
      <c r="E28" s="31"/>
      <c r="F28" s="31"/>
      <c r="G28" s="58">
        <f>SUM(D28:F28)</f>
        <v>0</v>
      </c>
      <c r="H28" s="35"/>
      <c r="I28" s="35"/>
      <c r="J28" s="35"/>
      <c r="K28" s="35"/>
      <c r="L28" s="35"/>
      <c r="M28" s="35"/>
      <c r="N28" s="35"/>
      <c r="O28" s="35"/>
      <c r="P28" s="35"/>
      <c r="Q28" s="7"/>
    </row>
    <row r="29" spans="1:25">
      <c r="A29" s="2426"/>
      <c r="B29" s="2014"/>
      <c r="C29" s="59">
        <v>2015</v>
      </c>
      <c r="D29" s="433">
        <v>8545</v>
      </c>
      <c r="E29" s="38">
        <v>3322</v>
      </c>
      <c r="F29" s="38">
        <v>19</v>
      </c>
      <c r="G29" s="58">
        <f t="shared" ref="G29:G35" si="2">SUM(D29:F29)</f>
        <v>11886</v>
      </c>
      <c r="H29" s="35"/>
      <c r="I29" s="35"/>
      <c r="J29" s="35"/>
      <c r="K29" s="35"/>
      <c r="L29" s="35"/>
      <c r="M29" s="35"/>
      <c r="N29" s="35"/>
      <c r="O29" s="35"/>
      <c r="P29" s="35"/>
      <c r="Q29" s="7"/>
    </row>
    <row r="30" spans="1:25">
      <c r="A30" s="2426"/>
      <c r="B30" s="2014"/>
      <c r="C30" s="59">
        <v>2016</v>
      </c>
      <c r="D30" s="1748">
        <v>11934</v>
      </c>
      <c r="E30" s="1749">
        <v>7740</v>
      </c>
      <c r="F30" s="1749">
        <v>20000</v>
      </c>
      <c r="G30" s="58">
        <f t="shared" si="2"/>
        <v>39674</v>
      </c>
      <c r="H30" s="35"/>
      <c r="I30" s="35"/>
      <c r="J30" s="35"/>
      <c r="K30" s="35"/>
      <c r="L30" s="35"/>
      <c r="M30" s="35"/>
      <c r="N30" s="35"/>
      <c r="O30" s="35"/>
      <c r="P30" s="35"/>
      <c r="Q30" s="7"/>
    </row>
    <row r="31" spans="1:25">
      <c r="A31" s="2426"/>
      <c r="B31" s="2014"/>
      <c r="C31" s="59">
        <v>2017</v>
      </c>
      <c r="D31" s="433">
        <v>15806</v>
      </c>
      <c r="E31" s="38"/>
      <c r="F31" s="38"/>
      <c r="G31" s="58">
        <f t="shared" si="2"/>
        <v>15806</v>
      </c>
      <c r="H31" s="35"/>
      <c r="I31" s="35"/>
      <c r="J31" s="35"/>
      <c r="K31" s="35"/>
      <c r="L31" s="35"/>
      <c r="M31" s="35"/>
      <c r="N31" s="35"/>
      <c r="O31" s="35"/>
      <c r="P31" s="35"/>
      <c r="Q31" s="7"/>
    </row>
    <row r="32" spans="1:25">
      <c r="A32" s="2426"/>
      <c r="B32" s="2014"/>
      <c r="C32" s="59">
        <v>2018</v>
      </c>
      <c r="D32" s="39"/>
      <c r="E32" s="38"/>
      <c r="F32" s="38"/>
      <c r="G32" s="58">
        <f>SUM(D32:F32)</f>
        <v>0</v>
      </c>
      <c r="H32" s="35"/>
      <c r="I32" s="35"/>
      <c r="J32" s="35"/>
      <c r="K32" s="35"/>
      <c r="L32" s="35"/>
      <c r="M32" s="35"/>
      <c r="N32" s="35"/>
      <c r="O32" s="35"/>
      <c r="P32" s="35"/>
      <c r="Q32" s="7"/>
    </row>
    <row r="33" spans="1:17">
      <c r="A33" s="2426"/>
      <c r="B33" s="2014"/>
      <c r="C33" s="60">
        <v>2019</v>
      </c>
      <c r="D33" s="39"/>
      <c r="E33" s="38"/>
      <c r="F33" s="38"/>
      <c r="G33" s="58">
        <f t="shared" si="2"/>
        <v>0</v>
      </c>
      <c r="H33" s="35"/>
      <c r="I33" s="35"/>
      <c r="J33" s="35"/>
      <c r="K33" s="35"/>
      <c r="L33" s="35"/>
      <c r="M33" s="35"/>
      <c r="N33" s="35"/>
      <c r="O33" s="35"/>
      <c r="P33" s="35"/>
      <c r="Q33" s="7"/>
    </row>
    <row r="34" spans="1:17">
      <c r="A34" s="2426"/>
      <c r="B34" s="2014"/>
      <c r="C34" s="59">
        <v>2020</v>
      </c>
      <c r="D34" s="39"/>
      <c r="E34" s="38"/>
      <c r="F34" s="38"/>
      <c r="G34" s="58">
        <f t="shared" si="2"/>
        <v>0</v>
      </c>
      <c r="H34" s="35"/>
      <c r="I34" s="35"/>
      <c r="J34" s="35"/>
      <c r="K34" s="35"/>
      <c r="L34" s="35"/>
      <c r="M34" s="35"/>
      <c r="N34" s="35"/>
      <c r="O34" s="35"/>
      <c r="P34" s="35"/>
      <c r="Q34" s="7"/>
    </row>
    <row r="35" spans="1:17" ht="20.25" customHeight="1" thickBot="1">
      <c r="A35" s="2016"/>
      <c r="B35" s="2017"/>
      <c r="C35" s="61" t="s">
        <v>13</v>
      </c>
      <c r="D35" s="46">
        <f>SUM(D28:D34)</f>
        <v>36285</v>
      </c>
      <c r="E35" s="44">
        <f>SUM(E28:E34)</f>
        <v>11062</v>
      </c>
      <c r="F35" s="44">
        <f>SUM(F28:F34)</f>
        <v>20019</v>
      </c>
      <c r="G35" s="48">
        <f t="shared" si="2"/>
        <v>67366</v>
      </c>
      <c r="H35" s="35"/>
      <c r="I35" s="35"/>
      <c r="J35" s="35"/>
      <c r="K35" s="35"/>
      <c r="L35" s="35"/>
      <c r="M35" s="35"/>
      <c r="N35" s="35"/>
      <c r="O35" s="35"/>
      <c r="P35" s="35"/>
      <c r="Q35" s="7"/>
    </row>
    <row r="36" spans="1:17">
      <c r="A36" s="1738"/>
      <c r="B36" s="1738"/>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544" t="s">
        <v>26</v>
      </c>
      <c r="B39" s="1740" t="s">
        <v>171</v>
      </c>
      <c r="C39" s="68" t="s">
        <v>9</v>
      </c>
      <c r="D39" s="1750" t="s">
        <v>28</v>
      </c>
      <c r="E39" s="70" t="s">
        <v>29</v>
      </c>
      <c r="F39" s="71"/>
      <c r="G39" s="28"/>
      <c r="H39" s="28"/>
    </row>
    <row r="40" spans="1:17">
      <c r="A40" s="2416" t="s">
        <v>568</v>
      </c>
      <c r="B40" s="2386"/>
      <c r="C40" s="72">
        <v>2014</v>
      </c>
      <c r="D40" s="30"/>
      <c r="E40" s="29"/>
      <c r="F40" s="7"/>
      <c r="G40" s="35"/>
      <c r="H40" s="35"/>
    </row>
    <row r="41" spans="1:17">
      <c r="A41" s="2416"/>
      <c r="B41" s="2386"/>
      <c r="C41" s="73">
        <v>2015</v>
      </c>
      <c r="D41" s="37">
        <v>39093</v>
      </c>
      <c r="E41" s="36">
        <v>1422</v>
      </c>
      <c r="F41" s="7"/>
      <c r="G41" s="35"/>
      <c r="H41" s="35"/>
    </row>
    <row r="42" spans="1:17">
      <c r="A42" s="2416"/>
      <c r="B42" s="2386"/>
      <c r="C42" s="73">
        <v>2016</v>
      </c>
      <c r="D42" s="1751">
        <v>16954</v>
      </c>
      <c r="E42" s="1752">
        <v>7930</v>
      </c>
      <c r="F42" s="7"/>
      <c r="G42" s="35"/>
      <c r="H42" s="35"/>
    </row>
    <row r="43" spans="1:17">
      <c r="A43" s="2416"/>
      <c r="B43" s="2386"/>
      <c r="C43" s="73">
        <v>2017</v>
      </c>
      <c r="D43" s="1751">
        <v>21477</v>
      </c>
      <c r="E43" s="1752">
        <v>9590</v>
      </c>
      <c r="F43" s="7"/>
      <c r="G43" s="35"/>
      <c r="H43" s="35"/>
    </row>
    <row r="44" spans="1:17">
      <c r="A44" s="2416"/>
      <c r="B44" s="2386"/>
      <c r="C44" s="73">
        <v>2018</v>
      </c>
      <c r="D44" s="37"/>
      <c r="E44" s="36"/>
      <c r="F44" s="7"/>
      <c r="G44" s="35"/>
      <c r="H44" s="35"/>
    </row>
    <row r="45" spans="1:17">
      <c r="A45" s="2416"/>
      <c r="B45" s="2386"/>
      <c r="C45" s="73">
        <v>2019</v>
      </c>
      <c r="D45" s="37"/>
      <c r="E45" s="36"/>
      <c r="F45" s="7"/>
      <c r="G45" s="35"/>
      <c r="H45" s="35"/>
    </row>
    <row r="46" spans="1:17">
      <c r="A46" s="2416"/>
      <c r="B46" s="2386"/>
      <c r="C46" s="73">
        <v>2020</v>
      </c>
      <c r="D46" s="37"/>
      <c r="E46" s="36"/>
      <c r="F46" s="7"/>
      <c r="G46" s="35"/>
      <c r="H46" s="35"/>
    </row>
    <row r="47" spans="1:17" ht="15.75" thickBot="1">
      <c r="A47" s="2236"/>
      <c r="B47" s="2388"/>
      <c r="C47" s="42" t="s">
        <v>13</v>
      </c>
      <c r="D47" s="43">
        <f>SUM(D40:D46)</f>
        <v>77524</v>
      </c>
      <c r="E47" s="455">
        <f>SUM(E40:E46)</f>
        <v>18942</v>
      </c>
      <c r="F47" s="78"/>
      <c r="G47" s="35"/>
      <c r="H47" s="35"/>
    </row>
    <row r="48" spans="1:17" s="35" customFormat="1" ht="15.75" thickBot="1">
      <c r="A48" s="1595"/>
      <c r="B48" s="80"/>
      <c r="C48" s="81"/>
    </row>
    <row r="49" spans="1:15" ht="83.25" customHeight="1">
      <c r="A49" s="1753" t="s">
        <v>32</v>
      </c>
      <c r="B49" s="1740" t="s">
        <v>171</v>
      </c>
      <c r="C49" s="84" t="s">
        <v>9</v>
      </c>
      <c r="D49" s="1750"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2408"/>
      <c r="B51" s="1881"/>
      <c r="C51" s="73">
        <v>2014</v>
      </c>
      <c r="D51" s="37"/>
      <c r="E51" s="38"/>
      <c r="F51" s="38"/>
      <c r="G51" s="38"/>
      <c r="H51" s="38"/>
      <c r="I51" s="38"/>
      <c r="J51" s="38"/>
      <c r="K51" s="88"/>
    </row>
    <row r="52" spans="1:15">
      <c r="A52" s="2408"/>
      <c r="B52" s="1881"/>
      <c r="C52" s="73">
        <v>2015</v>
      </c>
      <c r="D52" s="37"/>
      <c r="E52" s="38"/>
      <c r="F52" s="38"/>
      <c r="G52" s="38"/>
      <c r="H52" s="38"/>
      <c r="I52" s="38"/>
      <c r="J52" s="38"/>
      <c r="K52" s="88"/>
    </row>
    <row r="53" spans="1:15">
      <c r="A53" s="2408"/>
      <c r="B53" s="1881"/>
      <c r="C53" s="73">
        <v>2016</v>
      </c>
      <c r="D53" s="37"/>
      <c r="E53" s="38"/>
      <c r="F53" s="38"/>
      <c r="G53" s="38"/>
      <c r="H53" s="38"/>
      <c r="I53" s="38"/>
      <c r="J53" s="38"/>
      <c r="K53" s="88"/>
    </row>
    <row r="54" spans="1:15">
      <c r="A54" s="2408"/>
      <c r="B54" s="1881"/>
      <c r="C54" s="73">
        <v>2017</v>
      </c>
      <c r="D54" s="37"/>
      <c r="E54" s="38"/>
      <c r="F54" s="38"/>
      <c r="G54" s="38"/>
      <c r="H54" s="38"/>
      <c r="I54" s="38"/>
      <c r="J54" s="38"/>
      <c r="K54" s="88"/>
    </row>
    <row r="55" spans="1:15">
      <c r="A55" s="2408"/>
      <c r="B55" s="1881"/>
      <c r="C55" s="73">
        <v>2018</v>
      </c>
      <c r="D55" s="37"/>
      <c r="E55" s="38"/>
      <c r="F55" s="38"/>
      <c r="G55" s="38"/>
      <c r="H55" s="38"/>
      <c r="I55" s="38"/>
      <c r="J55" s="38"/>
      <c r="K55" s="88"/>
    </row>
    <row r="56" spans="1:15">
      <c r="A56" s="2408"/>
      <c r="B56" s="1881"/>
      <c r="C56" s="73">
        <v>2019</v>
      </c>
      <c r="D56" s="37"/>
      <c r="E56" s="38"/>
      <c r="F56" s="38"/>
      <c r="G56" s="38"/>
      <c r="H56" s="38"/>
      <c r="I56" s="38"/>
      <c r="J56" s="38"/>
      <c r="K56" s="88"/>
    </row>
    <row r="57" spans="1:15">
      <c r="A57" s="2408"/>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427" t="s">
        <v>44</v>
      </c>
      <c r="B60" s="1616"/>
      <c r="C60" s="2429" t="s">
        <v>9</v>
      </c>
      <c r="D60" s="2417" t="s">
        <v>45</v>
      </c>
      <c r="E60" s="1541" t="s">
        <v>6</v>
      </c>
      <c r="F60" s="1542"/>
      <c r="G60" s="1542"/>
      <c r="H60" s="1542"/>
      <c r="I60" s="1542"/>
      <c r="J60" s="1542"/>
      <c r="K60" s="1542"/>
      <c r="L60" s="1543"/>
    </row>
    <row r="61" spans="1:15" ht="115.5" customHeight="1">
      <c r="A61" s="2428"/>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399" t="s">
        <v>569</v>
      </c>
      <c r="B62" s="1899"/>
      <c r="C62" s="106">
        <v>2014</v>
      </c>
      <c r="D62" s="107"/>
      <c r="E62" s="108"/>
      <c r="F62" s="109"/>
      <c r="G62" s="109"/>
      <c r="H62" s="109"/>
      <c r="I62" s="109"/>
      <c r="J62" s="109"/>
      <c r="K62" s="109"/>
      <c r="L62" s="34"/>
      <c r="M62" s="7"/>
      <c r="N62" s="7"/>
      <c r="O62" s="7"/>
    </row>
    <row r="63" spans="1:15">
      <c r="A63" s="2395"/>
      <c r="B63" s="1899"/>
      <c r="C63" s="110">
        <v>2015</v>
      </c>
      <c r="D63" s="111"/>
      <c r="E63" s="112"/>
      <c r="F63" s="38"/>
      <c r="G63" s="38"/>
      <c r="H63" s="38"/>
      <c r="I63" s="38"/>
      <c r="J63" s="38"/>
      <c r="K63" s="38"/>
      <c r="L63" s="88"/>
      <c r="M63" s="7"/>
      <c r="N63" s="7"/>
      <c r="O63" s="7"/>
    </row>
    <row r="64" spans="1:15">
      <c r="A64" s="2395"/>
      <c r="B64" s="1899"/>
      <c r="C64" s="110">
        <v>2016</v>
      </c>
      <c r="D64" s="111"/>
      <c r="E64" s="112"/>
      <c r="F64" s="38"/>
      <c r="G64" s="38"/>
      <c r="H64" s="38"/>
      <c r="I64" s="38"/>
      <c r="J64" s="38"/>
      <c r="K64" s="38"/>
      <c r="L64" s="88"/>
      <c r="M64" s="7"/>
      <c r="N64" s="7"/>
      <c r="O64" s="7"/>
    </row>
    <row r="65" spans="1:20">
      <c r="A65" s="2395"/>
      <c r="B65" s="1899"/>
      <c r="C65" s="110">
        <v>2017</v>
      </c>
      <c r="D65" s="111">
        <v>1000</v>
      </c>
      <c r="E65" s="112">
        <v>1000</v>
      </c>
      <c r="F65" s="38"/>
      <c r="G65" s="38"/>
      <c r="H65" s="38"/>
      <c r="I65" s="38"/>
      <c r="J65" s="38"/>
      <c r="K65" s="38"/>
      <c r="L65" s="88"/>
      <c r="M65" s="7"/>
      <c r="N65" s="7"/>
      <c r="O65" s="7"/>
    </row>
    <row r="66" spans="1:20">
      <c r="A66" s="2395"/>
      <c r="B66" s="1899"/>
      <c r="C66" s="110">
        <v>2018</v>
      </c>
      <c r="D66" s="111"/>
      <c r="E66" s="112"/>
      <c r="F66" s="38"/>
      <c r="G66" s="38"/>
      <c r="H66" s="38"/>
      <c r="I66" s="38"/>
      <c r="J66" s="38"/>
      <c r="K66" s="38"/>
      <c r="L66" s="88"/>
      <c r="M66" s="7"/>
      <c r="N66" s="7"/>
      <c r="O66" s="7"/>
    </row>
    <row r="67" spans="1:20" ht="17.25" customHeight="1">
      <c r="A67" s="2395"/>
      <c r="B67" s="1899"/>
      <c r="C67" s="110">
        <v>2019</v>
      </c>
      <c r="D67" s="111"/>
      <c r="E67" s="112"/>
      <c r="F67" s="38"/>
      <c r="G67" s="38"/>
      <c r="H67" s="38"/>
      <c r="I67" s="38"/>
      <c r="J67" s="38"/>
      <c r="K67" s="38"/>
      <c r="L67" s="88"/>
      <c r="M67" s="7"/>
      <c r="N67" s="7"/>
      <c r="O67" s="7"/>
    </row>
    <row r="68" spans="1:20" ht="16.5" customHeight="1">
      <c r="A68" s="2395"/>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1000</v>
      </c>
      <c r="E69" s="115">
        <f>SUM(E62:E68)</f>
        <v>1000</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740" t="s">
        <v>171</v>
      </c>
      <c r="C71" s="68" t="s">
        <v>9</v>
      </c>
      <c r="D71" s="123" t="s">
        <v>49</v>
      </c>
      <c r="E71" s="123" t="s">
        <v>50</v>
      </c>
      <c r="F71" s="124" t="s">
        <v>51</v>
      </c>
      <c r="G71" s="1754" t="s">
        <v>52</v>
      </c>
      <c r="H71" s="126" t="s">
        <v>14</v>
      </c>
      <c r="I71" s="127" t="s">
        <v>15</v>
      </c>
      <c r="J71" s="128" t="s">
        <v>16</v>
      </c>
      <c r="K71" s="127" t="s">
        <v>17</v>
      </c>
      <c r="L71" s="127" t="s">
        <v>18</v>
      </c>
      <c r="M71" s="129" t="s">
        <v>19</v>
      </c>
      <c r="N71" s="128" t="s">
        <v>20</v>
      </c>
      <c r="O71" s="130" t="s">
        <v>21</v>
      </c>
    </row>
    <row r="72" spans="1:20" ht="15" customHeight="1">
      <c r="A72" s="2408" t="s">
        <v>570</v>
      </c>
      <c r="B72" s="1899"/>
      <c r="C72" s="72">
        <v>2014</v>
      </c>
      <c r="D72" s="131"/>
      <c r="E72" s="131"/>
      <c r="F72" s="131"/>
      <c r="G72" s="132">
        <f>SUM(D72:F72)</f>
        <v>0</v>
      </c>
      <c r="H72" s="30"/>
      <c r="I72" s="133"/>
      <c r="J72" s="109"/>
      <c r="K72" s="109"/>
      <c r="L72" s="109"/>
      <c r="M72" s="109"/>
      <c r="N72" s="109"/>
      <c r="O72" s="134"/>
    </row>
    <row r="73" spans="1:20">
      <c r="A73" s="2378"/>
      <c r="B73" s="1899"/>
      <c r="C73" s="73">
        <v>2015</v>
      </c>
      <c r="D73" s="135">
        <v>2</v>
      </c>
      <c r="E73" s="135"/>
      <c r="F73" s="135"/>
      <c r="G73" s="132">
        <f t="shared" ref="G73:G78" si="5">SUM(D73:F73)</f>
        <v>2</v>
      </c>
      <c r="H73" s="37"/>
      <c r="I73" s="37"/>
      <c r="J73" s="38"/>
      <c r="K73" s="38">
        <v>2</v>
      </c>
      <c r="L73" s="38"/>
      <c r="M73" s="38"/>
      <c r="N73" s="38"/>
      <c r="O73" s="88"/>
    </row>
    <row r="74" spans="1:20">
      <c r="A74" s="2378"/>
      <c r="B74" s="1899"/>
      <c r="C74" s="73">
        <v>2016</v>
      </c>
      <c r="D74" s="135"/>
      <c r="E74" s="135"/>
      <c r="F74" s="135"/>
      <c r="G74" s="132">
        <f t="shared" si="5"/>
        <v>0</v>
      </c>
      <c r="H74" s="37"/>
      <c r="I74" s="37"/>
      <c r="J74" s="38"/>
      <c r="K74" s="38"/>
      <c r="L74" s="38"/>
      <c r="M74" s="38"/>
      <c r="N74" s="38"/>
      <c r="O74" s="88"/>
    </row>
    <row r="75" spans="1:20">
      <c r="A75" s="2378"/>
      <c r="B75" s="1899"/>
      <c r="C75" s="73">
        <v>2017</v>
      </c>
      <c r="D75" s="135">
        <v>6</v>
      </c>
      <c r="E75" s="135"/>
      <c r="F75" s="135"/>
      <c r="G75" s="132">
        <f t="shared" si="5"/>
        <v>6</v>
      </c>
      <c r="H75" s="37"/>
      <c r="I75" s="37"/>
      <c r="J75" s="38"/>
      <c r="K75" s="38">
        <v>6</v>
      </c>
      <c r="L75" s="38"/>
      <c r="M75" s="38"/>
      <c r="N75" s="38"/>
      <c r="O75" s="88"/>
    </row>
    <row r="76" spans="1:20">
      <c r="A76" s="2378"/>
      <c r="B76" s="1899"/>
      <c r="C76" s="73">
        <v>2018</v>
      </c>
      <c r="D76" s="135"/>
      <c r="E76" s="135"/>
      <c r="F76" s="135"/>
      <c r="G76" s="132">
        <f t="shared" si="5"/>
        <v>0</v>
      </c>
      <c r="H76" s="37"/>
      <c r="I76" s="37"/>
      <c r="J76" s="38"/>
      <c r="K76" s="38"/>
      <c r="L76" s="38"/>
      <c r="M76" s="38"/>
      <c r="N76" s="38"/>
      <c r="O76" s="88"/>
    </row>
    <row r="77" spans="1:20" ht="15.75" customHeight="1">
      <c r="A77" s="2378"/>
      <c r="B77" s="1899"/>
      <c r="C77" s="73">
        <v>2019</v>
      </c>
      <c r="D77" s="135"/>
      <c r="E77" s="135"/>
      <c r="F77" s="135"/>
      <c r="G77" s="132">
        <f t="shared" si="5"/>
        <v>0</v>
      </c>
      <c r="H77" s="37"/>
      <c r="I77" s="37"/>
      <c r="J77" s="38"/>
      <c r="K77" s="38"/>
      <c r="L77" s="38"/>
      <c r="M77" s="38"/>
      <c r="N77" s="38"/>
      <c r="O77" s="88"/>
    </row>
    <row r="78" spans="1:20" ht="17.25" customHeight="1">
      <c r="A78" s="2378"/>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8</v>
      </c>
      <c r="E79" s="114">
        <f>SUM(E72:E78)</f>
        <v>0</v>
      </c>
      <c r="F79" s="114">
        <f>SUM(F72:F78)</f>
        <v>0</v>
      </c>
      <c r="G79" s="137">
        <f>SUM(G72:G78)</f>
        <v>8</v>
      </c>
      <c r="H79" s="138">
        <v>0</v>
      </c>
      <c r="I79" s="139">
        <f t="shared" ref="I79:O79" si="6">SUM(I72:I78)</f>
        <v>0</v>
      </c>
      <c r="J79" s="116">
        <f t="shared" si="6"/>
        <v>0</v>
      </c>
      <c r="K79" s="116">
        <f t="shared" si="6"/>
        <v>8</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546" t="s">
        <v>56</v>
      </c>
      <c r="B84" s="1547" t="s">
        <v>178</v>
      </c>
      <c r="C84" s="149" t="s">
        <v>9</v>
      </c>
      <c r="D84" s="1755" t="s">
        <v>58</v>
      </c>
      <c r="E84" s="151" t="s">
        <v>59</v>
      </c>
      <c r="F84" s="152" t="s">
        <v>60</v>
      </c>
      <c r="G84" s="152" t="s">
        <v>61</v>
      </c>
      <c r="H84" s="152" t="s">
        <v>62</v>
      </c>
      <c r="I84" s="152" t="s">
        <v>63</v>
      </c>
      <c r="J84" s="152" t="s">
        <v>64</v>
      </c>
      <c r="K84" s="153" t="s">
        <v>65</v>
      </c>
    </row>
    <row r="85" spans="1:16" ht="15" customHeight="1">
      <c r="A85" s="2415"/>
      <c r="B85" s="1899"/>
      <c r="C85" s="72">
        <v>2014</v>
      </c>
      <c r="D85" s="154"/>
      <c r="E85" s="155"/>
      <c r="F85" s="31"/>
      <c r="G85" s="31"/>
      <c r="H85" s="31"/>
      <c r="I85" s="31"/>
      <c r="J85" s="31"/>
      <c r="K85" s="34"/>
    </row>
    <row r="86" spans="1:16">
      <c r="A86" s="2416"/>
      <c r="B86" s="1899"/>
      <c r="C86" s="73">
        <v>2015</v>
      </c>
      <c r="D86" s="156"/>
      <c r="E86" s="112"/>
      <c r="F86" s="38"/>
      <c r="G86" s="38"/>
      <c r="H86" s="38"/>
      <c r="I86" s="38"/>
      <c r="J86" s="38"/>
      <c r="K86" s="88"/>
    </row>
    <row r="87" spans="1:16">
      <c r="A87" s="2416"/>
      <c r="B87" s="1899"/>
      <c r="C87" s="73">
        <v>2016</v>
      </c>
      <c r="D87" s="156"/>
      <c r="E87" s="112"/>
      <c r="F87" s="38"/>
      <c r="G87" s="38"/>
      <c r="H87" s="38"/>
      <c r="I87" s="38"/>
      <c r="J87" s="38"/>
      <c r="K87" s="88"/>
    </row>
    <row r="88" spans="1:16">
      <c r="A88" s="2416"/>
      <c r="B88" s="1899"/>
      <c r="C88" s="73">
        <v>2017</v>
      </c>
      <c r="D88" s="156"/>
      <c r="E88" s="112"/>
      <c r="F88" s="38"/>
      <c r="G88" s="38"/>
      <c r="H88" s="38"/>
      <c r="I88" s="38"/>
      <c r="J88" s="38"/>
      <c r="K88" s="88"/>
    </row>
    <row r="89" spans="1:16">
      <c r="A89" s="2416"/>
      <c r="B89" s="1899"/>
      <c r="C89" s="73">
        <v>2018</v>
      </c>
      <c r="D89" s="156"/>
      <c r="E89" s="112"/>
      <c r="F89" s="38"/>
      <c r="G89" s="38"/>
      <c r="H89" s="38"/>
      <c r="I89" s="38"/>
      <c r="J89" s="38"/>
      <c r="K89" s="88"/>
    </row>
    <row r="90" spans="1:16">
      <c r="A90" s="2416"/>
      <c r="B90" s="1899"/>
      <c r="C90" s="73">
        <v>2019</v>
      </c>
      <c r="D90" s="156"/>
      <c r="E90" s="112"/>
      <c r="F90" s="38"/>
      <c r="G90" s="38"/>
      <c r="H90" s="38"/>
      <c r="I90" s="38"/>
      <c r="J90" s="38"/>
      <c r="K90" s="88"/>
    </row>
    <row r="91" spans="1:16">
      <c r="A91" s="2416"/>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2411" t="s">
        <v>70</v>
      </c>
      <c r="E96" s="2412"/>
      <c r="F96" s="1756" t="s">
        <v>71</v>
      </c>
      <c r="G96" s="1548"/>
      <c r="H96" s="1548"/>
      <c r="I96" s="1548"/>
      <c r="J96" s="1548"/>
      <c r="K96" s="1548"/>
      <c r="L96" s="1548"/>
      <c r="M96" s="1549"/>
      <c r="N96" s="165"/>
      <c r="O96" s="165"/>
      <c r="P96" s="165"/>
    </row>
    <row r="97" spans="1:16" ht="100.5" customHeight="1">
      <c r="A97" s="2406"/>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399" t="s">
        <v>571</v>
      </c>
      <c r="B98" s="1899"/>
      <c r="C98" s="106">
        <v>2014</v>
      </c>
      <c r="D98" s="30"/>
      <c r="E98" s="31"/>
      <c r="F98" s="174"/>
      <c r="G98" s="175"/>
      <c r="H98" s="175"/>
      <c r="I98" s="175"/>
      <c r="J98" s="175"/>
      <c r="K98" s="175"/>
      <c r="L98" s="175"/>
      <c r="M98" s="176"/>
      <c r="N98" s="165"/>
      <c r="O98" s="165"/>
      <c r="P98" s="165"/>
    </row>
    <row r="99" spans="1:16" ht="16.5" customHeight="1">
      <c r="A99" s="2395"/>
      <c r="B99" s="1899"/>
      <c r="C99" s="110">
        <v>2015</v>
      </c>
      <c r="D99" s="37">
        <v>1</v>
      </c>
      <c r="E99" s="38">
        <v>2</v>
      </c>
      <c r="F99" s="177"/>
      <c r="G99" s="178"/>
      <c r="H99" s="178"/>
      <c r="I99" s="178"/>
      <c r="J99" s="178"/>
      <c r="K99" s="178"/>
      <c r="L99" s="178"/>
      <c r="M99" s="179">
        <v>1</v>
      </c>
      <c r="N99" s="165"/>
      <c r="O99" s="165"/>
      <c r="P99" s="165"/>
    </row>
    <row r="100" spans="1:16" ht="16.5" customHeight="1">
      <c r="A100" s="2395"/>
      <c r="B100" s="1899"/>
      <c r="C100" s="110">
        <v>2016</v>
      </c>
      <c r="D100" s="1757">
        <v>1</v>
      </c>
      <c r="E100" s="578">
        <v>6</v>
      </c>
      <c r="F100" s="177"/>
      <c r="G100" s="178"/>
      <c r="H100" s="178"/>
      <c r="I100" s="178"/>
      <c r="J100" s="178"/>
      <c r="K100" s="178"/>
      <c r="L100" s="178"/>
      <c r="M100" s="179">
        <v>1</v>
      </c>
      <c r="N100" s="165"/>
      <c r="O100" s="165"/>
      <c r="P100" s="165"/>
    </row>
    <row r="101" spans="1:16" ht="16.5" customHeight="1">
      <c r="A101" s="2395"/>
      <c r="B101" s="1899"/>
      <c r="C101" s="110">
        <v>2017</v>
      </c>
      <c r="D101" s="37">
        <v>1</v>
      </c>
      <c r="E101" s="38">
        <v>4</v>
      </c>
      <c r="F101" s="177"/>
      <c r="G101" s="178"/>
      <c r="H101" s="178"/>
      <c r="I101" s="178"/>
      <c r="J101" s="178"/>
      <c r="K101" s="178"/>
      <c r="L101" s="178"/>
      <c r="M101" s="179">
        <v>1</v>
      </c>
      <c r="N101" s="165"/>
      <c r="O101" s="165"/>
      <c r="P101" s="165"/>
    </row>
    <row r="102" spans="1:16" ht="15.75" customHeight="1">
      <c r="A102" s="2395"/>
      <c r="B102" s="1899"/>
      <c r="C102" s="110">
        <v>2018</v>
      </c>
      <c r="D102" s="37"/>
      <c r="E102" s="38"/>
      <c r="F102" s="177"/>
      <c r="G102" s="178"/>
      <c r="H102" s="178"/>
      <c r="I102" s="178"/>
      <c r="J102" s="178"/>
      <c r="K102" s="178"/>
      <c r="L102" s="178"/>
      <c r="M102" s="179"/>
      <c r="N102" s="165"/>
      <c r="O102" s="165"/>
      <c r="P102" s="165"/>
    </row>
    <row r="103" spans="1:16" ht="14.25" customHeight="1">
      <c r="A103" s="2395"/>
      <c r="B103" s="1899"/>
      <c r="C103" s="110">
        <v>2019</v>
      </c>
      <c r="D103" s="37"/>
      <c r="E103" s="38"/>
      <c r="F103" s="177"/>
      <c r="G103" s="178"/>
      <c r="H103" s="178"/>
      <c r="I103" s="178"/>
      <c r="J103" s="178"/>
      <c r="K103" s="178"/>
      <c r="L103" s="178"/>
      <c r="M103" s="179"/>
      <c r="N103" s="165"/>
      <c r="O103" s="165"/>
      <c r="P103" s="165"/>
    </row>
    <row r="104" spans="1:16" ht="14.25" customHeight="1">
      <c r="A104" s="2395"/>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12</v>
      </c>
      <c r="F105" s="180">
        <f t="shared" si="8"/>
        <v>0</v>
      </c>
      <c r="G105" s="181">
        <f t="shared" si="8"/>
        <v>0</v>
      </c>
      <c r="H105" s="181">
        <f t="shared" si="8"/>
        <v>0</v>
      </c>
      <c r="I105" s="181">
        <f>SUM(I98:I104)</f>
        <v>0</v>
      </c>
      <c r="J105" s="181">
        <f t="shared" si="8"/>
        <v>0</v>
      </c>
      <c r="K105" s="181">
        <f t="shared" si="8"/>
        <v>0</v>
      </c>
      <c r="L105" s="181">
        <f>SUM(L98:L104)</f>
        <v>0</v>
      </c>
      <c r="M105" s="182">
        <v>1</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78</v>
      </c>
      <c r="E107" s="1756" t="s">
        <v>79</v>
      </c>
      <c r="F107" s="1548"/>
      <c r="G107" s="1548"/>
      <c r="H107" s="1548"/>
      <c r="I107" s="1548"/>
      <c r="J107" s="1548"/>
      <c r="K107" s="1548"/>
      <c r="L107" s="1549"/>
      <c r="M107" s="185"/>
      <c r="N107" s="185"/>
    </row>
    <row r="108" spans="1:16" ht="103.5" customHeight="1">
      <c r="A108" s="2406"/>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399"/>
      <c r="B109" s="1899"/>
      <c r="C109" s="106">
        <v>2014</v>
      </c>
      <c r="D109" s="31"/>
      <c r="E109" s="174"/>
      <c r="F109" s="175"/>
      <c r="G109" s="175"/>
      <c r="H109" s="175"/>
      <c r="I109" s="175"/>
      <c r="J109" s="175"/>
      <c r="K109" s="175"/>
      <c r="L109" s="176"/>
      <c r="M109" s="185"/>
      <c r="N109" s="185"/>
    </row>
    <row r="110" spans="1:16">
      <c r="A110" s="2395"/>
      <c r="B110" s="1899"/>
      <c r="C110" s="110">
        <v>2015</v>
      </c>
      <c r="D110" s="38"/>
      <c r="E110" s="177"/>
      <c r="F110" s="178"/>
      <c r="G110" s="178"/>
      <c r="H110" s="178"/>
      <c r="I110" s="178"/>
      <c r="J110" s="178"/>
      <c r="K110" s="178"/>
      <c r="L110" s="179"/>
      <c r="M110" s="185"/>
      <c r="N110" s="185"/>
    </row>
    <row r="111" spans="1:16">
      <c r="A111" s="2395"/>
      <c r="B111" s="1899"/>
      <c r="C111" s="110">
        <v>2016</v>
      </c>
      <c r="D111" s="38"/>
      <c r="E111" s="177"/>
      <c r="F111" s="178"/>
      <c r="G111" s="178"/>
      <c r="H111" s="178"/>
      <c r="I111" s="178"/>
      <c r="J111" s="178"/>
      <c r="K111" s="178"/>
      <c r="L111" s="179"/>
      <c r="M111" s="185"/>
      <c r="N111" s="185"/>
    </row>
    <row r="112" spans="1:16">
      <c r="A112" s="2395"/>
      <c r="B112" s="1899"/>
      <c r="C112" s="110">
        <v>2017</v>
      </c>
      <c r="D112" s="38"/>
      <c r="E112" s="177"/>
      <c r="F112" s="178"/>
      <c r="G112" s="178"/>
      <c r="H112" s="178"/>
      <c r="I112" s="178"/>
      <c r="J112" s="178"/>
      <c r="K112" s="178"/>
      <c r="L112" s="179"/>
      <c r="M112" s="185"/>
      <c r="N112" s="185"/>
    </row>
    <row r="113" spans="1:14">
      <c r="A113" s="2395"/>
      <c r="B113" s="1899"/>
      <c r="C113" s="110">
        <v>2018</v>
      </c>
      <c r="D113" s="38"/>
      <c r="E113" s="177"/>
      <c r="F113" s="178"/>
      <c r="G113" s="178"/>
      <c r="H113" s="178"/>
      <c r="I113" s="178"/>
      <c r="J113" s="178"/>
      <c r="K113" s="178"/>
      <c r="L113" s="179"/>
      <c r="M113" s="185"/>
      <c r="N113" s="185"/>
    </row>
    <row r="114" spans="1:14">
      <c r="A114" s="2395"/>
      <c r="B114" s="1899"/>
      <c r="C114" s="110">
        <v>2019</v>
      </c>
      <c r="D114" s="38"/>
      <c r="E114" s="177"/>
      <c r="F114" s="178"/>
      <c r="G114" s="178"/>
      <c r="H114" s="178"/>
      <c r="I114" s="178"/>
      <c r="J114" s="178"/>
      <c r="K114" s="178"/>
      <c r="L114" s="179"/>
      <c r="M114" s="185"/>
      <c r="N114" s="185"/>
    </row>
    <row r="115" spans="1:14">
      <c r="A115" s="2395"/>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756" t="s">
        <v>79</v>
      </c>
      <c r="F118" s="1548"/>
      <c r="G118" s="1548"/>
      <c r="H118" s="1548"/>
      <c r="I118" s="1548"/>
      <c r="J118" s="1548"/>
      <c r="K118" s="1548"/>
      <c r="L118" s="1549"/>
      <c r="M118" s="185"/>
      <c r="N118" s="185"/>
    </row>
    <row r="119" spans="1:14" ht="120.75" customHeight="1">
      <c r="A119" s="2406"/>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399"/>
      <c r="B120" s="1899"/>
      <c r="C120" s="106">
        <v>2014</v>
      </c>
      <c r="D120" s="31"/>
      <c r="E120" s="174"/>
      <c r="F120" s="175"/>
      <c r="G120" s="175"/>
      <c r="H120" s="175"/>
      <c r="I120" s="175"/>
      <c r="J120" s="175"/>
      <c r="K120" s="175"/>
      <c r="L120" s="176"/>
      <c r="M120" s="185"/>
      <c r="N120" s="185"/>
    </row>
    <row r="121" spans="1:14">
      <c r="A121" s="2395"/>
      <c r="B121" s="1899"/>
      <c r="C121" s="110">
        <v>2015</v>
      </c>
      <c r="D121" s="38"/>
      <c r="E121" s="177"/>
      <c r="F121" s="178"/>
      <c r="G121" s="178"/>
      <c r="H121" s="178"/>
      <c r="I121" s="178"/>
      <c r="J121" s="178"/>
      <c r="K121" s="178"/>
      <c r="L121" s="179"/>
      <c r="M121" s="185"/>
      <c r="N121" s="185"/>
    </row>
    <row r="122" spans="1:14">
      <c r="A122" s="2395"/>
      <c r="B122" s="1899"/>
      <c r="C122" s="110">
        <v>2016</v>
      </c>
      <c r="D122" s="38"/>
      <c r="E122" s="177"/>
      <c r="F122" s="178"/>
      <c r="G122" s="178"/>
      <c r="H122" s="178"/>
      <c r="I122" s="178"/>
      <c r="J122" s="178"/>
      <c r="K122" s="178"/>
      <c r="L122" s="179"/>
      <c r="M122" s="185"/>
      <c r="N122" s="185"/>
    </row>
    <row r="123" spans="1:14">
      <c r="A123" s="2395"/>
      <c r="B123" s="1899"/>
      <c r="C123" s="110">
        <v>2017</v>
      </c>
      <c r="D123" s="38"/>
      <c r="E123" s="177"/>
      <c r="F123" s="178"/>
      <c r="G123" s="178"/>
      <c r="H123" s="178"/>
      <c r="I123" s="178"/>
      <c r="J123" s="178"/>
      <c r="K123" s="178"/>
      <c r="L123" s="179"/>
      <c r="M123" s="185"/>
      <c r="N123" s="185"/>
    </row>
    <row r="124" spans="1:14">
      <c r="A124" s="2395"/>
      <c r="B124" s="1899"/>
      <c r="C124" s="110">
        <v>2018</v>
      </c>
      <c r="D124" s="38"/>
      <c r="E124" s="177"/>
      <c r="F124" s="178"/>
      <c r="G124" s="178"/>
      <c r="H124" s="178"/>
      <c r="I124" s="178"/>
      <c r="J124" s="178"/>
      <c r="K124" s="178"/>
      <c r="L124" s="179"/>
      <c r="M124" s="185"/>
      <c r="N124" s="185"/>
    </row>
    <row r="125" spans="1:14">
      <c r="A125" s="2395"/>
      <c r="B125" s="1899"/>
      <c r="C125" s="110">
        <v>2019</v>
      </c>
      <c r="D125" s="38"/>
      <c r="E125" s="177"/>
      <c r="F125" s="178"/>
      <c r="G125" s="178"/>
      <c r="H125" s="178"/>
      <c r="I125" s="178"/>
      <c r="J125" s="178"/>
      <c r="K125" s="178"/>
      <c r="L125" s="179"/>
      <c r="M125" s="185"/>
      <c r="N125" s="185"/>
    </row>
    <row r="126" spans="1:14">
      <c r="A126" s="2395"/>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739" t="s">
        <v>9</v>
      </c>
      <c r="D129" s="1758" t="s">
        <v>85</v>
      </c>
      <c r="E129" s="1551"/>
      <c r="F129" s="1551"/>
      <c r="G129" s="1759"/>
      <c r="H129" s="185"/>
      <c r="I129" s="185"/>
      <c r="J129" s="185"/>
      <c r="K129" s="185"/>
      <c r="L129" s="185"/>
      <c r="M129" s="185"/>
      <c r="N129" s="185"/>
    </row>
    <row r="130" spans="1:16" ht="77.25" customHeight="1">
      <c r="A130" s="2406"/>
      <c r="B130" s="1912"/>
      <c r="C130" s="1735"/>
      <c r="D130" s="166" t="s">
        <v>86</v>
      </c>
      <c r="E130" s="193" t="s">
        <v>87</v>
      </c>
      <c r="F130" s="167" t="s">
        <v>88</v>
      </c>
      <c r="G130" s="194" t="s">
        <v>13</v>
      </c>
      <c r="H130" s="185"/>
      <c r="I130" s="185"/>
      <c r="J130" s="185"/>
      <c r="K130" s="185"/>
      <c r="L130" s="185"/>
      <c r="M130" s="185"/>
      <c r="N130" s="185"/>
    </row>
    <row r="131" spans="1:16" ht="15" customHeight="1">
      <c r="A131" s="2408"/>
      <c r="B131" s="1855"/>
      <c r="C131" s="106">
        <v>2015</v>
      </c>
      <c r="D131" s="30">
        <v>16</v>
      </c>
      <c r="E131" s="31"/>
      <c r="F131" s="31"/>
      <c r="G131" s="195">
        <f t="shared" ref="G131:G136" si="11">SUM(D131:F131)</f>
        <v>16</v>
      </c>
      <c r="H131" s="185"/>
      <c r="I131" s="185"/>
      <c r="J131" s="185"/>
      <c r="K131" s="185"/>
      <c r="L131" s="185"/>
      <c r="M131" s="185"/>
      <c r="N131" s="185"/>
    </row>
    <row r="132" spans="1:16">
      <c r="A132" s="2378"/>
      <c r="B132" s="1855"/>
      <c r="C132" s="110">
        <v>2016</v>
      </c>
      <c r="D132" s="584">
        <v>48</v>
      </c>
      <c r="E132" s="38"/>
      <c r="F132" s="38"/>
      <c r="G132" s="195">
        <f t="shared" si="11"/>
        <v>48</v>
      </c>
      <c r="H132" s="185"/>
      <c r="I132" s="185"/>
      <c r="J132" s="185"/>
      <c r="K132" s="185"/>
      <c r="L132" s="185"/>
      <c r="M132" s="185"/>
      <c r="N132" s="185"/>
    </row>
    <row r="133" spans="1:16">
      <c r="A133" s="2378"/>
      <c r="B133" s="1855"/>
      <c r="C133" s="110">
        <v>2017</v>
      </c>
      <c r="D133" s="37">
        <v>32</v>
      </c>
      <c r="E133" s="38"/>
      <c r="F133" s="38"/>
      <c r="G133" s="195">
        <f t="shared" si="11"/>
        <v>32</v>
      </c>
      <c r="H133" s="185"/>
      <c r="I133" s="185"/>
      <c r="J133" s="185"/>
      <c r="K133" s="185"/>
      <c r="L133" s="185"/>
      <c r="M133" s="185"/>
      <c r="N133" s="185"/>
    </row>
    <row r="134" spans="1:16">
      <c r="A134" s="2378"/>
      <c r="B134" s="1855"/>
      <c r="C134" s="110">
        <v>2018</v>
      </c>
      <c r="D134" s="37"/>
      <c r="E134" s="38"/>
      <c r="F134" s="38"/>
      <c r="G134" s="195">
        <f t="shared" si="11"/>
        <v>0</v>
      </c>
      <c r="H134" s="185"/>
      <c r="I134" s="185"/>
      <c r="J134" s="185"/>
      <c r="K134" s="185"/>
      <c r="L134" s="185"/>
      <c r="M134" s="185"/>
      <c r="N134" s="185"/>
    </row>
    <row r="135" spans="1:16">
      <c r="A135" s="2378"/>
      <c r="B135" s="1855"/>
      <c r="C135" s="110">
        <v>2019</v>
      </c>
      <c r="D135" s="37"/>
      <c r="E135" s="38"/>
      <c r="F135" s="38"/>
      <c r="G135" s="195">
        <f t="shared" si="11"/>
        <v>0</v>
      </c>
      <c r="H135" s="185"/>
      <c r="I135" s="185"/>
      <c r="J135" s="185"/>
      <c r="K135" s="185"/>
      <c r="L135" s="185"/>
      <c r="M135" s="185"/>
      <c r="N135" s="185"/>
    </row>
    <row r="136" spans="1:16">
      <c r="A136" s="2378"/>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96</v>
      </c>
      <c r="E137" s="139">
        <f t="shared" ref="E137:F137" si="12">SUM(E131:E136)</f>
        <v>0</v>
      </c>
      <c r="F137" s="139">
        <f t="shared" si="12"/>
        <v>0</v>
      </c>
      <c r="G137" s="196">
        <f>SUM(G131:G136)</f>
        <v>96</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13.25" customHeight="1">
      <c r="A143" s="2410"/>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399"/>
      <c r="B144" s="1899"/>
      <c r="C144" s="106">
        <v>2014</v>
      </c>
      <c r="D144" s="30"/>
      <c r="E144" s="30"/>
      <c r="F144" s="31"/>
      <c r="G144" s="175"/>
      <c r="H144" s="175"/>
      <c r="I144" s="213">
        <f>D144+F144+G144+H144</f>
        <v>0</v>
      </c>
      <c r="J144" s="214"/>
      <c r="K144" s="215"/>
      <c r="L144" s="214"/>
      <c r="M144" s="215"/>
      <c r="N144" s="216"/>
      <c r="O144" s="165"/>
      <c r="P144" s="165"/>
    </row>
    <row r="145" spans="1:16" ht="19.5" customHeight="1">
      <c r="A145" s="2395"/>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2395"/>
      <c r="B146" s="1899"/>
      <c r="C146" s="110">
        <v>2016</v>
      </c>
      <c r="D146" s="37"/>
      <c r="E146" s="37"/>
      <c r="F146" s="38"/>
      <c r="G146" s="178"/>
      <c r="H146" s="178"/>
      <c r="I146" s="213">
        <f t="shared" si="13"/>
        <v>0</v>
      </c>
      <c r="J146" s="217"/>
      <c r="K146" s="218"/>
      <c r="L146" s="217"/>
      <c r="M146" s="218"/>
      <c r="N146" s="219"/>
      <c r="O146" s="165"/>
      <c r="P146" s="165"/>
    </row>
    <row r="147" spans="1:16" ht="17.25" customHeight="1">
      <c r="A147" s="2395"/>
      <c r="B147" s="1899"/>
      <c r="C147" s="110">
        <v>2017</v>
      </c>
      <c r="D147" s="37"/>
      <c r="E147" s="37"/>
      <c r="F147" s="38"/>
      <c r="G147" s="178"/>
      <c r="H147" s="178"/>
      <c r="I147" s="213">
        <f t="shared" si="13"/>
        <v>0</v>
      </c>
      <c r="J147" s="217"/>
      <c r="K147" s="218"/>
      <c r="L147" s="217"/>
      <c r="M147" s="218"/>
      <c r="N147" s="219"/>
      <c r="O147" s="165"/>
      <c r="P147" s="165"/>
    </row>
    <row r="148" spans="1:16" ht="19.5" customHeight="1">
      <c r="A148" s="2395"/>
      <c r="B148" s="1899"/>
      <c r="C148" s="110">
        <v>2018</v>
      </c>
      <c r="D148" s="37"/>
      <c r="E148" s="37"/>
      <c r="F148" s="38"/>
      <c r="G148" s="178"/>
      <c r="H148" s="178"/>
      <c r="I148" s="213">
        <f t="shared" si="13"/>
        <v>0</v>
      </c>
      <c r="J148" s="217"/>
      <c r="K148" s="218"/>
      <c r="L148" s="217"/>
      <c r="M148" s="218"/>
      <c r="N148" s="219"/>
      <c r="O148" s="165"/>
      <c r="P148" s="165"/>
    </row>
    <row r="149" spans="1:16" ht="19.5" customHeight="1">
      <c r="A149" s="2395"/>
      <c r="B149" s="1899"/>
      <c r="C149" s="110">
        <v>2019</v>
      </c>
      <c r="D149" s="37"/>
      <c r="E149" s="37"/>
      <c r="F149" s="38"/>
      <c r="G149" s="178"/>
      <c r="H149" s="178"/>
      <c r="I149" s="213">
        <f t="shared" si="13"/>
        <v>0</v>
      </c>
      <c r="J149" s="217"/>
      <c r="K149" s="218"/>
      <c r="L149" s="217"/>
      <c r="M149" s="218"/>
      <c r="N149" s="219"/>
      <c r="O149" s="165"/>
      <c r="P149" s="165"/>
    </row>
    <row r="150" spans="1:16" ht="18.75" customHeight="1">
      <c r="A150" s="2395"/>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2401"/>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399"/>
      <c r="B155" s="1899"/>
      <c r="C155" s="233">
        <v>2014</v>
      </c>
      <c r="D155" s="214"/>
      <c r="E155" s="175"/>
      <c r="F155" s="215"/>
      <c r="G155" s="213">
        <f>SUM(D155:F155)</f>
        <v>0</v>
      </c>
      <c r="H155" s="214"/>
      <c r="I155" s="175"/>
      <c r="J155" s="176"/>
      <c r="O155" s="165"/>
      <c r="P155" s="165"/>
    </row>
    <row r="156" spans="1:16" ht="19.5" customHeight="1">
      <c r="A156" s="2395"/>
      <c r="B156" s="1899"/>
      <c r="C156" s="234">
        <v>2015</v>
      </c>
      <c r="D156" s="217"/>
      <c r="E156" s="178"/>
      <c r="F156" s="218"/>
      <c r="G156" s="213">
        <f t="shared" ref="G156:G161" si="15">SUM(D156:F156)</f>
        <v>0</v>
      </c>
      <c r="H156" s="217"/>
      <c r="I156" s="178"/>
      <c r="J156" s="179"/>
      <c r="O156" s="165"/>
      <c r="P156" s="165"/>
    </row>
    <row r="157" spans="1:16" ht="17.25" customHeight="1">
      <c r="A157" s="2395"/>
      <c r="B157" s="1899"/>
      <c r="C157" s="234">
        <v>2016</v>
      </c>
      <c r="D157" s="217"/>
      <c r="E157" s="178"/>
      <c r="F157" s="218"/>
      <c r="G157" s="213">
        <f t="shared" si="15"/>
        <v>0</v>
      </c>
      <c r="H157" s="217"/>
      <c r="I157" s="178"/>
      <c r="J157" s="179"/>
      <c r="O157" s="165"/>
      <c r="P157" s="165"/>
    </row>
    <row r="158" spans="1:16" ht="15" customHeight="1">
      <c r="A158" s="2395"/>
      <c r="B158" s="1899"/>
      <c r="C158" s="234">
        <v>2017</v>
      </c>
      <c r="D158" s="217"/>
      <c r="E158" s="178"/>
      <c r="F158" s="218"/>
      <c r="G158" s="213">
        <f t="shared" si="15"/>
        <v>0</v>
      </c>
      <c r="H158" s="217"/>
      <c r="I158" s="178"/>
      <c r="J158" s="179"/>
      <c r="O158" s="165"/>
      <c r="P158" s="165"/>
    </row>
    <row r="159" spans="1:16" ht="19.5" customHeight="1">
      <c r="A159" s="2395"/>
      <c r="B159" s="1899"/>
      <c r="C159" s="234">
        <v>2018</v>
      </c>
      <c r="D159" s="217"/>
      <c r="E159" s="178"/>
      <c r="F159" s="218"/>
      <c r="G159" s="213">
        <f t="shared" si="15"/>
        <v>0</v>
      </c>
      <c r="H159" s="217"/>
      <c r="I159" s="178"/>
      <c r="J159" s="179"/>
      <c r="O159" s="165"/>
      <c r="P159" s="165"/>
    </row>
    <row r="160" spans="1:16" ht="15" customHeight="1">
      <c r="A160" s="2395"/>
      <c r="B160" s="1899"/>
      <c r="C160" s="234">
        <v>2019</v>
      </c>
      <c r="D160" s="217"/>
      <c r="E160" s="178"/>
      <c r="F160" s="218"/>
      <c r="G160" s="213">
        <f t="shared" si="15"/>
        <v>0</v>
      </c>
      <c r="H160" s="217"/>
      <c r="I160" s="178"/>
      <c r="J160" s="179"/>
      <c r="O160" s="165"/>
      <c r="P160" s="165"/>
    </row>
    <row r="161" spans="1:18" ht="17.25" customHeight="1">
      <c r="A161" s="2395"/>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566"/>
      <c r="F163" s="165"/>
      <c r="G163" s="165"/>
      <c r="H163" s="165"/>
      <c r="I163" s="165"/>
      <c r="J163" s="241"/>
      <c r="K163" s="242"/>
    </row>
    <row r="164" spans="1:18" ht="95.25" customHeight="1">
      <c r="A164" s="1760" t="s">
        <v>115</v>
      </c>
      <c r="B164" s="405" t="s">
        <v>181</v>
      </c>
      <c r="C164" s="1567" t="s">
        <v>9</v>
      </c>
      <c r="D164" s="246" t="s">
        <v>117</v>
      </c>
      <c r="E164" s="246" t="s">
        <v>118</v>
      </c>
      <c r="F164" s="1568" t="s">
        <v>119</v>
      </c>
      <c r="G164" s="246" t="s">
        <v>120</v>
      </c>
      <c r="H164" s="246" t="s">
        <v>121</v>
      </c>
      <c r="I164" s="248" t="s">
        <v>122</v>
      </c>
      <c r="J164" s="1761" t="s">
        <v>123</v>
      </c>
      <c r="K164" s="1761" t="s">
        <v>124</v>
      </c>
      <c r="L164" s="1721"/>
    </row>
    <row r="165" spans="1:18" ht="15.75" customHeight="1">
      <c r="A165" s="1878"/>
      <c r="B165" s="1879"/>
      <c r="C165" s="251">
        <v>2014</v>
      </c>
      <c r="D165" s="175"/>
      <c r="E165" s="175"/>
      <c r="F165" s="175"/>
      <c r="G165" s="175"/>
      <c r="H165" s="175"/>
      <c r="I165" s="176"/>
      <c r="J165" s="1570">
        <f>SUM(D165,F165,H165)</f>
        <v>0</v>
      </c>
      <c r="K165" s="253">
        <f>SUM(E165,G165,I165)</f>
        <v>0</v>
      </c>
      <c r="L165" s="1721"/>
    </row>
    <row r="166" spans="1:18">
      <c r="A166" s="1880"/>
      <c r="B166" s="1881"/>
      <c r="C166" s="254">
        <v>2015</v>
      </c>
      <c r="D166" s="255"/>
      <c r="E166" s="255"/>
      <c r="F166" s="255"/>
      <c r="G166" s="255"/>
      <c r="H166" s="255"/>
      <c r="I166" s="256"/>
      <c r="J166" s="1571">
        <f t="shared" ref="J166:K171" si="17">SUM(D166,F166,H166)</f>
        <v>0</v>
      </c>
      <c r="K166" s="408">
        <f t="shared" si="17"/>
        <v>0</v>
      </c>
      <c r="L166" s="1721"/>
    </row>
    <row r="167" spans="1:18">
      <c r="A167" s="1880"/>
      <c r="B167" s="1881"/>
      <c r="C167" s="254">
        <v>2016</v>
      </c>
      <c r="D167" s="255"/>
      <c r="E167" s="255"/>
      <c r="F167" s="255"/>
      <c r="G167" s="255"/>
      <c r="H167" s="255"/>
      <c r="I167" s="256"/>
      <c r="J167" s="1571">
        <f t="shared" si="17"/>
        <v>0</v>
      </c>
      <c r="K167" s="408">
        <f t="shared" si="17"/>
        <v>0</v>
      </c>
    </row>
    <row r="168" spans="1:18">
      <c r="A168" s="1880"/>
      <c r="B168" s="1881"/>
      <c r="C168" s="254">
        <v>2017</v>
      </c>
      <c r="D168" s="255"/>
      <c r="E168" s="165"/>
      <c r="F168" s="255"/>
      <c r="G168" s="255"/>
      <c r="H168" s="255"/>
      <c r="I168" s="256"/>
      <c r="J168" s="1571">
        <f t="shared" si="17"/>
        <v>0</v>
      </c>
      <c r="K168" s="408">
        <f t="shared" si="17"/>
        <v>0</v>
      </c>
    </row>
    <row r="169" spans="1:18">
      <c r="A169" s="1880"/>
      <c r="B169" s="1881"/>
      <c r="C169" s="262">
        <v>2018</v>
      </c>
      <c r="D169" s="255"/>
      <c r="E169" s="255"/>
      <c r="F169" s="255"/>
      <c r="G169" s="263"/>
      <c r="H169" s="255"/>
      <c r="I169" s="256"/>
      <c r="J169" s="1571">
        <f t="shared" si="17"/>
        <v>0</v>
      </c>
      <c r="K169" s="408">
        <f t="shared" si="17"/>
        <v>0</v>
      </c>
      <c r="L169" s="1721"/>
    </row>
    <row r="170" spans="1:18">
      <c r="A170" s="1880"/>
      <c r="B170" s="1881"/>
      <c r="C170" s="254">
        <v>2019</v>
      </c>
      <c r="D170" s="165"/>
      <c r="E170" s="255"/>
      <c r="F170" s="255"/>
      <c r="G170" s="255"/>
      <c r="H170" s="263"/>
      <c r="I170" s="256"/>
      <c r="J170" s="1571">
        <f t="shared" si="17"/>
        <v>0</v>
      </c>
      <c r="K170" s="408">
        <f t="shared" si="17"/>
        <v>0</v>
      </c>
      <c r="L170" s="1721"/>
    </row>
    <row r="171" spans="1:18">
      <c r="A171" s="1880"/>
      <c r="B171" s="1881"/>
      <c r="C171" s="262">
        <v>2020</v>
      </c>
      <c r="D171" s="255"/>
      <c r="E171" s="255"/>
      <c r="F171" s="255"/>
      <c r="G171" s="255"/>
      <c r="H171" s="255"/>
      <c r="I171" s="256"/>
      <c r="J171" s="1571">
        <f t="shared" si="17"/>
        <v>0</v>
      </c>
      <c r="K171" s="408">
        <f t="shared" si="17"/>
        <v>0</v>
      </c>
      <c r="L171" s="172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72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1762" t="s">
        <v>128</v>
      </c>
      <c r="E176" s="1572"/>
      <c r="F176" s="1572"/>
      <c r="G176" s="1573"/>
      <c r="H176" s="1763"/>
      <c r="I176" s="2392" t="s">
        <v>129</v>
      </c>
      <c r="J176" s="2393"/>
      <c r="K176" s="2393"/>
      <c r="L176" s="2393"/>
      <c r="M176" s="2393"/>
      <c r="N176" s="2393"/>
      <c r="O176" s="2394"/>
    </row>
    <row r="177" spans="1:15" s="56" customFormat="1" ht="129.75" customHeight="1">
      <c r="A177" s="2390"/>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395"/>
      <c r="B178" s="1899"/>
      <c r="C178" s="106">
        <v>2014</v>
      </c>
      <c r="D178" s="30"/>
      <c r="E178" s="31"/>
      <c r="F178" s="31"/>
      <c r="G178" s="284">
        <f>SUM(D178:F178)</f>
        <v>0</v>
      </c>
      <c r="H178" s="155"/>
      <c r="I178" s="155"/>
      <c r="J178" s="31"/>
      <c r="K178" s="31"/>
      <c r="L178" s="31"/>
      <c r="M178" s="31"/>
      <c r="N178" s="31"/>
      <c r="O178" s="34"/>
    </row>
    <row r="179" spans="1:15">
      <c r="A179" s="2395"/>
      <c r="B179" s="1899"/>
      <c r="C179" s="110">
        <v>2015</v>
      </c>
      <c r="D179" s="37"/>
      <c r="E179" s="38"/>
      <c r="F179" s="38"/>
      <c r="G179" s="284">
        <f t="shared" ref="G179:G184" si="19">SUM(D179:F179)</f>
        <v>0</v>
      </c>
      <c r="H179" s="411"/>
      <c r="I179" s="112"/>
      <c r="J179" s="38"/>
      <c r="K179" s="38"/>
      <c r="L179" s="38"/>
      <c r="M179" s="38"/>
      <c r="N179" s="38"/>
      <c r="O179" s="88"/>
    </row>
    <row r="180" spans="1:15">
      <c r="A180" s="2395"/>
      <c r="B180" s="1899"/>
      <c r="C180" s="110">
        <v>2016</v>
      </c>
      <c r="D180" s="37">
        <v>5</v>
      </c>
      <c r="E180" s="38">
        <v>1</v>
      </c>
      <c r="F180" s="38"/>
      <c r="G180" s="284">
        <f t="shared" si="19"/>
        <v>6</v>
      </c>
      <c r="H180" s="592">
        <v>32</v>
      </c>
      <c r="I180" s="112"/>
      <c r="J180" s="38">
        <v>4</v>
      </c>
      <c r="K180" s="38"/>
      <c r="L180" s="38">
        <v>1</v>
      </c>
      <c r="M180" s="38">
        <v>1</v>
      </c>
      <c r="N180" s="38"/>
      <c r="O180" s="88"/>
    </row>
    <row r="181" spans="1:15">
      <c r="A181" s="2395"/>
      <c r="B181" s="1899"/>
      <c r="C181" s="110">
        <v>2017</v>
      </c>
      <c r="D181" s="37">
        <v>3</v>
      </c>
      <c r="E181" s="38">
        <v>4</v>
      </c>
      <c r="F181" s="38"/>
      <c r="G181" s="284">
        <f t="shared" si="19"/>
        <v>7</v>
      </c>
      <c r="H181" s="592">
        <v>23</v>
      </c>
      <c r="I181" s="112">
        <v>1</v>
      </c>
      <c r="J181" s="38">
        <v>1</v>
      </c>
      <c r="K181" s="38"/>
      <c r="L181" s="38">
        <v>2</v>
      </c>
      <c r="M181" s="38">
        <v>3</v>
      </c>
      <c r="N181" s="38"/>
      <c r="O181" s="88"/>
    </row>
    <row r="182" spans="1:15">
      <c r="A182" s="2395"/>
      <c r="B182" s="1899"/>
      <c r="C182" s="110">
        <v>2018</v>
      </c>
      <c r="D182" s="37"/>
      <c r="E182" s="38"/>
      <c r="F182" s="38"/>
      <c r="G182" s="284">
        <f t="shared" si="19"/>
        <v>0</v>
      </c>
      <c r="H182" s="411"/>
      <c r="I182" s="112"/>
      <c r="J182" s="38"/>
      <c r="K182" s="38"/>
      <c r="L182" s="38"/>
      <c r="M182" s="38"/>
      <c r="N182" s="38"/>
      <c r="O182" s="88"/>
    </row>
    <row r="183" spans="1:15">
      <c r="A183" s="2395"/>
      <c r="B183" s="1899"/>
      <c r="C183" s="110">
        <v>2019</v>
      </c>
      <c r="D183" s="37"/>
      <c r="E183" s="38"/>
      <c r="F183" s="38"/>
      <c r="G183" s="284">
        <f t="shared" si="19"/>
        <v>0</v>
      </c>
      <c r="H183" s="411"/>
      <c r="I183" s="112"/>
      <c r="J183" s="38"/>
      <c r="K183" s="38"/>
      <c r="L183" s="38"/>
      <c r="M183" s="38"/>
      <c r="N183" s="38"/>
      <c r="O183" s="88"/>
    </row>
    <row r="184" spans="1:15">
      <c r="A184" s="2395"/>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8</v>
      </c>
      <c r="E185" s="116">
        <f>SUM(E178:E184)</f>
        <v>5</v>
      </c>
      <c r="F185" s="116">
        <f>SUM(F178:F184)</f>
        <v>0</v>
      </c>
      <c r="G185" s="220">
        <f t="shared" ref="G185:O185" si="20">SUM(G178:G184)</f>
        <v>13</v>
      </c>
      <c r="H185" s="285">
        <f t="shared" si="20"/>
        <v>55</v>
      </c>
      <c r="I185" s="115">
        <f t="shared" si="20"/>
        <v>1</v>
      </c>
      <c r="J185" s="116">
        <f t="shared" si="20"/>
        <v>5</v>
      </c>
      <c r="K185" s="116">
        <f t="shared" si="20"/>
        <v>0</v>
      </c>
      <c r="L185" s="116">
        <f t="shared" si="20"/>
        <v>3</v>
      </c>
      <c r="M185" s="116">
        <f t="shared" si="20"/>
        <v>4</v>
      </c>
      <c r="N185" s="116">
        <f t="shared" si="20"/>
        <v>0</v>
      </c>
      <c r="O185" s="117">
        <f t="shared" si="20"/>
        <v>0</v>
      </c>
    </row>
    <row r="186" spans="1:15" ht="33" customHeight="1" thickBot="1"/>
    <row r="187" spans="1:15" ht="19.5" customHeight="1">
      <c r="A187" s="2379" t="s">
        <v>137</v>
      </c>
      <c r="B187" s="2380" t="s">
        <v>182</v>
      </c>
      <c r="C187" s="1865" t="s">
        <v>9</v>
      </c>
      <c r="D187" s="1867" t="s">
        <v>138</v>
      </c>
      <c r="E187" s="2381"/>
      <c r="F187" s="2381"/>
      <c r="G187" s="2382"/>
      <c r="H187" s="2383"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233" t="s">
        <v>572</v>
      </c>
      <c r="B189" s="2384"/>
      <c r="C189" s="290">
        <v>2014</v>
      </c>
      <c r="D189" s="133"/>
      <c r="E189" s="109"/>
      <c r="F189" s="109"/>
      <c r="G189" s="291">
        <f>SUM(D189:F189)</f>
        <v>0</v>
      </c>
      <c r="H189" s="108"/>
      <c r="I189" s="109"/>
      <c r="J189" s="109"/>
      <c r="K189" s="109"/>
      <c r="L189" s="134"/>
    </row>
    <row r="190" spans="1:15">
      <c r="A190" s="2385"/>
      <c r="B190" s="2386"/>
      <c r="C190" s="73">
        <v>2015</v>
      </c>
      <c r="D190" s="37"/>
      <c r="E190" s="38"/>
      <c r="F190" s="38"/>
      <c r="G190" s="291">
        <f t="shared" ref="G190:G195" si="21">SUM(D190:F190)</f>
        <v>0</v>
      </c>
      <c r="H190" s="112"/>
      <c r="I190" s="38"/>
      <c r="J190" s="38"/>
      <c r="K190" s="38"/>
      <c r="L190" s="88"/>
    </row>
    <row r="191" spans="1:15">
      <c r="A191" s="2385"/>
      <c r="B191" s="2386"/>
      <c r="C191" s="73">
        <v>2016</v>
      </c>
      <c r="D191" s="37">
        <v>560</v>
      </c>
      <c r="E191" s="38">
        <v>35</v>
      </c>
      <c r="F191" s="38"/>
      <c r="G191" s="291">
        <f t="shared" si="21"/>
        <v>595</v>
      </c>
      <c r="H191" s="112"/>
      <c r="I191" s="38">
        <v>40</v>
      </c>
      <c r="J191" s="38"/>
      <c r="K191" s="38">
        <v>104</v>
      </c>
      <c r="L191" s="88">
        <v>451</v>
      </c>
    </row>
    <row r="192" spans="1:15">
      <c r="A192" s="2385"/>
      <c r="B192" s="2386"/>
      <c r="C192" s="73">
        <v>2017</v>
      </c>
      <c r="D192" s="37">
        <v>197</v>
      </c>
      <c r="E192" s="38">
        <v>89</v>
      </c>
      <c r="F192" s="38"/>
      <c r="G192" s="291">
        <f t="shared" si="21"/>
        <v>286</v>
      </c>
      <c r="H192" s="112"/>
      <c r="I192" s="38">
        <v>147</v>
      </c>
      <c r="J192" s="38"/>
      <c r="K192" s="38"/>
      <c r="L192" s="88">
        <v>139</v>
      </c>
    </row>
    <row r="193" spans="1:14">
      <c r="A193" s="2385"/>
      <c r="B193" s="2386"/>
      <c r="C193" s="73">
        <v>2018</v>
      </c>
      <c r="D193" s="37"/>
      <c r="E193" s="38"/>
      <c r="F193" s="38"/>
      <c r="G193" s="291">
        <f t="shared" si="21"/>
        <v>0</v>
      </c>
      <c r="H193" s="112"/>
      <c r="I193" s="38"/>
      <c r="J193" s="38"/>
      <c r="K193" s="38"/>
      <c r="L193" s="88"/>
    </row>
    <row r="194" spans="1:14">
      <c r="A194" s="2385"/>
      <c r="B194" s="2386"/>
      <c r="C194" s="73">
        <v>2019</v>
      </c>
      <c r="D194" s="37"/>
      <c r="E194" s="38"/>
      <c r="F194" s="38"/>
      <c r="G194" s="291">
        <f t="shared" si="21"/>
        <v>0</v>
      </c>
      <c r="H194" s="112"/>
      <c r="I194" s="38"/>
      <c r="J194" s="38"/>
      <c r="K194" s="38"/>
      <c r="L194" s="88"/>
    </row>
    <row r="195" spans="1:14">
      <c r="A195" s="2385"/>
      <c r="B195" s="2386"/>
      <c r="C195" s="73">
        <v>2020</v>
      </c>
      <c r="D195" s="37"/>
      <c r="E195" s="38"/>
      <c r="F195" s="38"/>
      <c r="G195" s="291">
        <f t="shared" si="21"/>
        <v>0</v>
      </c>
      <c r="H195" s="112"/>
      <c r="I195" s="38"/>
      <c r="J195" s="38"/>
      <c r="K195" s="38"/>
      <c r="L195" s="88"/>
    </row>
    <row r="196" spans="1:14" ht="15.75" thickBot="1">
      <c r="A196" s="2387"/>
      <c r="B196" s="2388"/>
      <c r="C196" s="136" t="s">
        <v>13</v>
      </c>
      <c r="D196" s="139">
        <f t="shared" ref="D196:L196" si="22">SUM(D189:D195)</f>
        <v>757</v>
      </c>
      <c r="E196" s="116">
        <f t="shared" si="22"/>
        <v>124</v>
      </c>
      <c r="F196" s="116">
        <f t="shared" si="22"/>
        <v>0</v>
      </c>
      <c r="G196" s="292">
        <f t="shared" si="22"/>
        <v>881</v>
      </c>
      <c r="H196" s="115">
        <f t="shared" si="22"/>
        <v>0</v>
      </c>
      <c r="I196" s="116">
        <f t="shared" si="22"/>
        <v>187</v>
      </c>
      <c r="J196" s="116">
        <f t="shared" si="22"/>
        <v>0</v>
      </c>
      <c r="K196" s="116">
        <f t="shared" si="22"/>
        <v>104</v>
      </c>
      <c r="L196" s="117">
        <f t="shared" si="22"/>
        <v>590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417" t="s">
        <v>182</v>
      </c>
      <c r="C201" s="298" t="s">
        <v>9</v>
      </c>
      <c r="D201" s="1764" t="s">
        <v>151</v>
      </c>
      <c r="E201" s="300" t="s">
        <v>152</v>
      </c>
      <c r="F201" s="300" t="s">
        <v>153</v>
      </c>
      <c r="G201" s="298" t="s">
        <v>154</v>
      </c>
      <c r="H201" s="1575" t="s">
        <v>155</v>
      </c>
      <c r="I201" s="1765" t="s">
        <v>156</v>
      </c>
      <c r="J201" s="1766" t="s">
        <v>157</v>
      </c>
      <c r="K201" s="300" t="s">
        <v>158</v>
      </c>
      <c r="L201" s="304" t="s">
        <v>159</v>
      </c>
    </row>
    <row r="202" spans="1:14" ht="15" customHeight="1">
      <c r="A202" s="2378" t="s">
        <v>573</v>
      </c>
      <c r="B202" s="1855"/>
      <c r="C202" s="72">
        <v>2014</v>
      </c>
      <c r="D202" s="30"/>
      <c r="E202" s="31"/>
      <c r="F202" s="31"/>
      <c r="G202" s="29"/>
      <c r="H202" s="305"/>
      <c r="I202" s="306"/>
      <c r="J202" s="307"/>
      <c r="K202" s="31"/>
      <c r="L202" s="34"/>
    </row>
    <row r="203" spans="1:14">
      <c r="A203" s="2378"/>
      <c r="B203" s="1855"/>
      <c r="C203" s="73">
        <v>2015</v>
      </c>
      <c r="D203" s="37"/>
      <c r="E203" s="38"/>
      <c r="F203" s="38"/>
      <c r="G203" s="36"/>
      <c r="H203" s="308"/>
      <c r="I203" s="309"/>
      <c r="J203" s="310"/>
      <c r="K203" s="38"/>
      <c r="L203" s="88"/>
    </row>
    <row r="204" spans="1:14">
      <c r="A204" s="2378"/>
      <c r="B204" s="1855"/>
      <c r="C204" s="73">
        <v>2016</v>
      </c>
      <c r="D204" s="37">
        <v>1</v>
      </c>
      <c r="E204" s="1767">
        <v>17</v>
      </c>
      <c r="F204" s="38"/>
      <c r="G204" s="36"/>
      <c r="H204" s="308">
        <v>0</v>
      </c>
      <c r="I204" s="309"/>
      <c r="J204" s="310"/>
      <c r="K204" s="38"/>
      <c r="L204" s="88"/>
    </row>
    <row r="205" spans="1:14">
      <c r="A205" s="2378"/>
      <c r="B205" s="1855"/>
      <c r="C205" s="73">
        <v>2017</v>
      </c>
      <c r="D205" s="37"/>
      <c r="E205" s="38"/>
      <c r="F205" s="38"/>
      <c r="G205" s="36"/>
      <c r="H205" s="308"/>
      <c r="I205" s="309"/>
      <c r="J205" s="310"/>
      <c r="K205" s="38"/>
      <c r="L205" s="88"/>
    </row>
    <row r="206" spans="1:14">
      <c r="A206" s="2378"/>
      <c r="B206" s="1855"/>
      <c r="C206" s="73">
        <v>2018</v>
      </c>
      <c r="D206" s="37"/>
      <c r="E206" s="38"/>
      <c r="F206" s="38"/>
      <c r="G206" s="36"/>
      <c r="H206" s="308"/>
      <c r="I206" s="309"/>
      <c r="J206" s="310"/>
      <c r="K206" s="38"/>
      <c r="L206" s="88"/>
    </row>
    <row r="207" spans="1:14">
      <c r="A207" s="2378"/>
      <c r="B207" s="1855"/>
      <c r="C207" s="73">
        <v>2019</v>
      </c>
      <c r="D207" s="37"/>
      <c r="E207" s="38"/>
      <c r="F207" s="38"/>
      <c r="G207" s="36"/>
      <c r="H207" s="308"/>
      <c r="I207" s="309"/>
      <c r="J207" s="310"/>
      <c r="K207" s="38"/>
      <c r="L207" s="88"/>
    </row>
    <row r="208" spans="1:14">
      <c r="A208" s="2378"/>
      <c r="B208" s="1855"/>
      <c r="C208" s="73">
        <v>2020</v>
      </c>
      <c r="D208" s="1737"/>
      <c r="E208" s="312"/>
      <c r="F208" s="312"/>
      <c r="G208" s="313"/>
      <c r="H208" s="314"/>
      <c r="I208" s="315"/>
      <c r="J208" s="316"/>
      <c r="K208" s="312"/>
      <c r="L208" s="317"/>
    </row>
    <row r="209" spans="1:12" ht="20.25" customHeight="1" thickBot="1">
      <c r="A209" s="1856"/>
      <c r="B209" s="1857"/>
      <c r="C209" s="136" t="s">
        <v>13</v>
      </c>
      <c r="D209" s="139">
        <f>SUM(D202:D208)</f>
        <v>1</v>
      </c>
      <c r="E209" s="139">
        <f t="shared" ref="E209:L209" si="23">SUM(E202:E208)</f>
        <v>17</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576" t="s">
        <v>161</v>
      </c>
      <c r="B212" s="322" t="s">
        <v>162</v>
      </c>
      <c r="C212" s="323">
        <v>2014</v>
      </c>
      <c r="D212" s="324">
        <v>2015</v>
      </c>
      <c r="E212" s="324">
        <v>2016</v>
      </c>
      <c r="F212" s="324">
        <v>2017</v>
      </c>
      <c r="G212" s="324">
        <v>2018</v>
      </c>
      <c r="H212" s="324">
        <v>2019</v>
      </c>
      <c r="I212" s="325">
        <v>2020</v>
      </c>
    </row>
    <row r="213" spans="1:12" ht="15" customHeight="1">
      <c r="A213" t="s">
        <v>163</v>
      </c>
      <c r="B213" s="1973" t="s">
        <v>574</v>
      </c>
      <c r="C213" s="72"/>
      <c r="D213" s="328">
        <v>300157.90999999997</v>
      </c>
      <c r="E213" s="328">
        <v>670926.79</v>
      </c>
      <c r="F213" s="328">
        <v>391933.72</v>
      </c>
      <c r="G213" s="135"/>
      <c r="H213" s="135"/>
      <c r="I213" s="326"/>
    </row>
    <row r="214" spans="1:12">
      <c r="A214" t="s">
        <v>164</v>
      </c>
      <c r="B214" s="1974"/>
      <c r="C214" s="72"/>
      <c r="D214" s="328">
        <v>300157.90999999997</v>
      </c>
      <c r="E214" s="328">
        <v>670926.79</v>
      </c>
      <c r="F214" s="328">
        <v>370482.52</v>
      </c>
      <c r="G214" s="135"/>
      <c r="H214" s="135"/>
      <c r="I214" s="326"/>
    </row>
    <row r="215" spans="1:12">
      <c r="A215" t="s">
        <v>165</v>
      </c>
      <c r="B215" s="1974"/>
      <c r="C215" s="72"/>
      <c r="D215" s="135"/>
      <c r="E215" s="135"/>
      <c r="F215" s="135"/>
      <c r="G215" s="135"/>
      <c r="H215" s="135"/>
      <c r="I215" s="326"/>
    </row>
    <row r="216" spans="1:12">
      <c r="A216" t="s">
        <v>166</v>
      </c>
      <c r="B216" s="1974"/>
      <c r="C216" s="72"/>
      <c r="D216" s="135"/>
      <c r="E216" s="135"/>
      <c r="F216" s="328">
        <v>21451.200000000001</v>
      </c>
      <c r="G216" s="135"/>
      <c r="H216" s="135"/>
      <c r="I216" s="326"/>
    </row>
    <row r="217" spans="1:12">
      <c r="A217" t="s">
        <v>167</v>
      </c>
      <c r="B217" s="1974"/>
      <c r="C217" s="72"/>
      <c r="D217" s="135"/>
      <c r="E217" s="135"/>
      <c r="F217" s="135"/>
      <c r="G217" s="135"/>
      <c r="H217" s="135"/>
      <c r="I217" s="326"/>
    </row>
    <row r="218" spans="1:12" ht="30">
      <c r="A218" s="56" t="s">
        <v>168</v>
      </c>
      <c r="B218" s="1974"/>
      <c r="C218" s="72"/>
      <c r="D218" s="328">
        <v>147995.29999999999</v>
      </c>
      <c r="E218" s="328">
        <v>339676.46</v>
      </c>
      <c r="F218" s="328">
        <v>328616.21000000002</v>
      </c>
      <c r="G218" s="135"/>
      <c r="H218" s="135"/>
      <c r="I218" s="326"/>
    </row>
    <row r="219" spans="1:12" ht="15.75" thickBot="1">
      <c r="A219" s="1736"/>
      <c r="B219" s="1975"/>
      <c r="C219" s="42" t="s">
        <v>13</v>
      </c>
      <c r="D219" s="333">
        <f>SUM(D214:D218)</f>
        <v>448153.20999999996</v>
      </c>
      <c r="E219" s="333">
        <f t="shared" ref="E219:I219" si="24">SUM(E214:E218)</f>
        <v>1010603.25</v>
      </c>
      <c r="F219" s="333">
        <f t="shared" si="24"/>
        <v>720549.93</v>
      </c>
      <c r="G219" s="333">
        <f t="shared" si="24"/>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4" zoomScale="80" zoomScaleNormal="80" workbookViewId="0">
      <selection activeCell="F219" sqref="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376</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377</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8</v>
      </c>
      <c r="E18" s="38">
        <v>1</v>
      </c>
      <c r="F18" s="38">
        <v>1</v>
      </c>
      <c r="G18" s="32">
        <f>SUM(D18:F18)</f>
        <v>10</v>
      </c>
      <c r="H18" s="39"/>
      <c r="I18" s="38">
        <v>2</v>
      </c>
      <c r="J18" s="38"/>
      <c r="K18" s="38"/>
      <c r="L18" s="38"/>
      <c r="M18" s="38"/>
      <c r="N18" s="38"/>
      <c r="O18" s="40">
        <v>8</v>
      </c>
      <c r="P18" s="35"/>
      <c r="Q18" s="35"/>
      <c r="R18" s="35"/>
      <c r="S18" s="35"/>
      <c r="T18" s="35"/>
      <c r="U18" s="35"/>
      <c r="V18" s="35"/>
      <c r="W18" s="35"/>
      <c r="X18" s="35"/>
      <c r="Y18" s="35"/>
    </row>
    <row r="19" spans="1:25">
      <c r="A19" s="1854"/>
      <c r="B19" s="1855"/>
      <c r="C19" s="36">
        <v>2016</v>
      </c>
      <c r="D19" s="37">
        <v>26</v>
      </c>
      <c r="E19" s="38">
        <v>4</v>
      </c>
      <c r="F19" s="38"/>
      <c r="G19" s="32">
        <f t="shared" si="0"/>
        <v>30</v>
      </c>
      <c r="H19" s="39"/>
      <c r="I19" s="38">
        <v>6</v>
      </c>
      <c r="J19" s="38">
        <v>4</v>
      </c>
      <c r="K19" s="38">
        <v>2</v>
      </c>
      <c r="L19" s="38">
        <v>2</v>
      </c>
      <c r="M19" s="38"/>
      <c r="N19" s="38"/>
      <c r="O19" s="40">
        <v>16</v>
      </c>
      <c r="P19" s="35"/>
      <c r="Q19" s="35"/>
      <c r="R19" s="35"/>
      <c r="S19" s="35"/>
      <c r="T19" s="35"/>
      <c r="U19" s="35"/>
      <c r="V19" s="35"/>
      <c r="W19" s="35"/>
      <c r="X19" s="35"/>
      <c r="Y19" s="35"/>
    </row>
    <row r="20" spans="1:25">
      <c r="A20" s="1854"/>
      <c r="B20" s="1855"/>
      <c r="C20" s="36">
        <v>2017</v>
      </c>
      <c r="D20" s="37">
        <v>5</v>
      </c>
      <c r="E20" s="38">
        <v>1</v>
      </c>
      <c r="F20" s="38"/>
      <c r="G20" s="32">
        <f t="shared" si="0"/>
        <v>6</v>
      </c>
      <c r="H20" s="39"/>
      <c r="I20" s="38">
        <v>1</v>
      </c>
      <c r="J20" s="38"/>
      <c r="K20" s="38">
        <v>1</v>
      </c>
      <c r="L20" s="38"/>
      <c r="M20" s="38">
        <v>2</v>
      </c>
      <c r="N20" s="38"/>
      <c r="O20" s="40">
        <v>2</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90" customHeight="1" thickBot="1">
      <c r="A24" s="1856"/>
      <c r="B24" s="1857"/>
      <c r="C24" s="42" t="s">
        <v>13</v>
      </c>
      <c r="D24" s="43">
        <f>SUM(D17:D23)</f>
        <v>39</v>
      </c>
      <c r="E24" s="44">
        <f>SUM(E17:E23)</f>
        <v>6</v>
      </c>
      <c r="F24" s="44">
        <f>SUM(F17:F23)</f>
        <v>1</v>
      </c>
      <c r="G24" s="45">
        <f>SUM(D24:F24)</f>
        <v>46</v>
      </c>
      <c r="H24" s="46">
        <f>SUM(H17:H23)</f>
        <v>0</v>
      </c>
      <c r="I24" s="47">
        <f>SUM(I17:I23)</f>
        <v>9</v>
      </c>
      <c r="J24" s="47">
        <f t="shared" ref="J24:N24" si="1">SUM(J17:J23)</f>
        <v>4</v>
      </c>
      <c r="K24" s="47">
        <f t="shared" si="1"/>
        <v>3</v>
      </c>
      <c r="L24" s="47">
        <f t="shared" si="1"/>
        <v>2</v>
      </c>
      <c r="M24" s="47">
        <f t="shared" si="1"/>
        <v>2</v>
      </c>
      <c r="N24" s="47">
        <f t="shared" si="1"/>
        <v>0</v>
      </c>
      <c r="O24" s="48">
        <f>SUM(O17:O23)</f>
        <v>26</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378</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6056</v>
      </c>
      <c r="E29" s="38">
        <v>49</v>
      </c>
      <c r="F29" s="38">
        <v>25</v>
      </c>
      <c r="G29" s="58">
        <f t="shared" ref="G29:G35" si="2">SUM(D29:F29)</f>
        <v>6130</v>
      </c>
      <c r="H29" s="35"/>
      <c r="I29" s="35"/>
      <c r="J29" s="35"/>
      <c r="K29" s="35"/>
      <c r="L29" s="35"/>
      <c r="M29" s="35"/>
      <c r="N29" s="35"/>
      <c r="O29" s="35"/>
      <c r="P29" s="35"/>
      <c r="Q29" s="7"/>
    </row>
    <row r="30" spans="1:25">
      <c r="A30" s="1854"/>
      <c r="B30" s="1855"/>
      <c r="C30" s="59">
        <v>2016</v>
      </c>
      <c r="D30" s="495">
        <v>13899</v>
      </c>
      <c r="E30" s="91">
        <v>49100</v>
      </c>
      <c r="F30" s="38"/>
      <c r="G30" s="58">
        <f t="shared" si="2"/>
        <v>62999</v>
      </c>
      <c r="H30" s="35"/>
      <c r="I30" s="35"/>
      <c r="J30" s="35"/>
      <c r="K30" s="35"/>
      <c r="L30" s="35"/>
      <c r="M30" s="35"/>
      <c r="N30" s="35"/>
      <c r="O30" s="35"/>
      <c r="P30" s="35"/>
      <c r="Q30" s="7"/>
    </row>
    <row r="31" spans="1:25">
      <c r="A31" s="1854"/>
      <c r="B31" s="1855"/>
      <c r="C31" s="59">
        <v>2017</v>
      </c>
      <c r="D31" s="39">
        <v>363</v>
      </c>
      <c r="E31" s="38">
        <v>35000</v>
      </c>
      <c r="F31" s="38"/>
      <c r="G31" s="58">
        <f t="shared" si="2"/>
        <v>35363</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99" customHeight="1" thickBot="1">
      <c r="A35" s="1856"/>
      <c r="B35" s="1857"/>
      <c r="C35" s="61" t="s">
        <v>13</v>
      </c>
      <c r="D35" s="46">
        <f>SUM(D28:D34)</f>
        <v>20318</v>
      </c>
      <c r="E35" s="44">
        <f>SUM(E28:E34)</f>
        <v>84149</v>
      </c>
      <c r="F35" s="44">
        <f>SUM(F28:F34)</f>
        <v>25</v>
      </c>
      <c r="G35" s="48">
        <f t="shared" si="2"/>
        <v>104492</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9817</v>
      </c>
      <c r="E41" s="36">
        <v>3009</v>
      </c>
      <c r="F41" s="7"/>
      <c r="G41" s="35"/>
      <c r="H41" s="35"/>
    </row>
    <row r="42" spans="1:17">
      <c r="A42" s="1854"/>
      <c r="B42" s="1855"/>
      <c r="C42" s="73">
        <v>2016</v>
      </c>
      <c r="D42" s="37">
        <v>5877</v>
      </c>
      <c r="E42" s="36">
        <v>4084</v>
      </c>
      <c r="F42" s="7"/>
      <c r="G42" s="35"/>
      <c r="H42" s="35"/>
    </row>
    <row r="43" spans="1:17">
      <c r="A43" s="1854"/>
      <c r="B43" s="1855"/>
      <c r="C43" s="73">
        <v>2017</v>
      </c>
      <c r="D43" s="1485">
        <v>4039</v>
      </c>
      <c r="E43" s="1485">
        <v>2842</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19733</v>
      </c>
      <c r="E47" s="455">
        <f>SUM(E40:E46)</f>
        <v>9935</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379</v>
      </c>
      <c r="B62" s="1899"/>
      <c r="C62" s="106">
        <v>2014</v>
      </c>
      <c r="D62" s="107"/>
      <c r="E62" s="108"/>
      <c r="F62" s="109"/>
      <c r="G62" s="109"/>
      <c r="H62" s="109"/>
      <c r="I62" s="109"/>
      <c r="J62" s="109"/>
      <c r="K62" s="109"/>
      <c r="L62" s="34"/>
      <c r="M62" s="7"/>
      <c r="N62" s="7"/>
      <c r="O62" s="7"/>
    </row>
    <row r="63" spans="1:15">
      <c r="A63" s="1891"/>
      <c r="B63" s="1899"/>
      <c r="C63" s="110">
        <v>2015</v>
      </c>
      <c r="D63" s="111">
        <v>2</v>
      </c>
      <c r="E63" s="112"/>
      <c r="F63" s="38"/>
      <c r="G63" s="38"/>
      <c r="H63" s="38"/>
      <c r="I63" s="38">
        <v>1</v>
      </c>
      <c r="J63" s="38"/>
      <c r="K63" s="38"/>
      <c r="L63" s="88">
        <v>1</v>
      </c>
      <c r="M63" s="7"/>
      <c r="N63" s="7"/>
      <c r="O63" s="7"/>
    </row>
    <row r="64" spans="1:15">
      <c r="A64" s="1891"/>
      <c r="B64" s="1899"/>
      <c r="C64" s="110">
        <v>2016</v>
      </c>
      <c r="D64" s="111">
        <v>4</v>
      </c>
      <c r="E64" s="112"/>
      <c r="F64" s="38">
        <v>1</v>
      </c>
      <c r="G64" s="38"/>
      <c r="H64" s="38">
        <v>1</v>
      </c>
      <c r="I64" s="38"/>
      <c r="J64" s="38"/>
      <c r="K64" s="38"/>
      <c r="L64" s="88">
        <v>2</v>
      </c>
      <c r="M64" s="7"/>
      <c r="N64" s="7"/>
      <c r="O64" s="7"/>
    </row>
    <row r="65" spans="1:20">
      <c r="A65" s="1891"/>
      <c r="B65" s="1899"/>
      <c r="C65" s="110">
        <v>2017</v>
      </c>
      <c r="D65" s="111">
        <v>2</v>
      </c>
      <c r="E65" s="112"/>
      <c r="F65" s="38"/>
      <c r="G65" s="38"/>
      <c r="H65" s="38">
        <v>2</v>
      </c>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8</v>
      </c>
      <c r="E69" s="115">
        <f>SUM(E62:E68)</f>
        <v>0</v>
      </c>
      <c r="F69" s="116">
        <f t="shared" ref="F69:I69" si="4">SUM(F62:F68)</f>
        <v>1</v>
      </c>
      <c r="G69" s="116">
        <f t="shared" si="4"/>
        <v>0</v>
      </c>
      <c r="H69" s="116">
        <f t="shared" si="4"/>
        <v>3</v>
      </c>
      <c r="I69" s="116">
        <f t="shared" si="4"/>
        <v>1</v>
      </c>
      <c r="J69" s="116"/>
      <c r="K69" s="116">
        <f>SUM(K62:K68)</f>
        <v>0</v>
      </c>
      <c r="L69" s="117">
        <f>SUM(L62:L68)</f>
        <v>3</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t="s">
        <v>380</v>
      </c>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v>1</v>
      </c>
      <c r="F73" s="135">
        <v>79</v>
      </c>
      <c r="G73" s="132">
        <f t="shared" ref="G73:G78" si="5">SUM(D73:F73)</f>
        <v>80</v>
      </c>
      <c r="H73" s="37"/>
      <c r="I73" s="37">
        <v>1</v>
      </c>
      <c r="J73" s="38"/>
      <c r="K73" s="38"/>
      <c r="L73" s="38"/>
      <c r="M73" s="38"/>
      <c r="N73" s="38"/>
      <c r="O73" s="88">
        <v>79</v>
      </c>
    </row>
    <row r="74" spans="1:20">
      <c r="A74" s="1854"/>
      <c r="B74" s="1899"/>
      <c r="C74" s="73">
        <v>2016</v>
      </c>
      <c r="D74" s="135">
        <v>5</v>
      </c>
      <c r="E74" s="135">
        <v>6</v>
      </c>
      <c r="F74" s="135">
        <v>12</v>
      </c>
      <c r="G74" s="132">
        <f t="shared" si="5"/>
        <v>23</v>
      </c>
      <c r="H74" s="37"/>
      <c r="I74" s="37">
        <v>2</v>
      </c>
      <c r="J74" s="38">
        <v>2</v>
      </c>
      <c r="K74" s="38">
        <v>4</v>
      </c>
      <c r="L74" s="38"/>
      <c r="M74" s="38"/>
      <c r="N74" s="38"/>
      <c r="O74" s="88">
        <v>15</v>
      </c>
    </row>
    <row r="75" spans="1:20">
      <c r="A75" s="1854"/>
      <c r="B75" s="1899"/>
      <c r="C75" s="73">
        <v>2017</v>
      </c>
      <c r="D75" s="135">
        <v>5</v>
      </c>
      <c r="E75" s="135">
        <v>1</v>
      </c>
      <c r="F75" s="135">
        <v>2</v>
      </c>
      <c r="G75" s="132">
        <f t="shared" si="5"/>
        <v>8</v>
      </c>
      <c r="H75" s="37"/>
      <c r="I75" s="37">
        <v>4</v>
      </c>
      <c r="J75" s="38"/>
      <c r="K75" s="38"/>
      <c r="L75" s="38"/>
      <c r="M75" s="38"/>
      <c r="N75" s="38"/>
      <c r="O75" s="88">
        <v>4</v>
      </c>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54" customHeight="1" thickBot="1">
      <c r="A79" s="1980"/>
      <c r="B79" s="1900"/>
      <c r="C79" s="136" t="s">
        <v>13</v>
      </c>
      <c r="D79" s="114">
        <f>SUM(D72:D78)</f>
        <v>10</v>
      </c>
      <c r="E79" s="114">
        <f>SUM(E72:E78)</f>
        <v>8</v>
      </c>
      <c r="F79" s="114">
        <f>SUM(F72:F78)</f>
        <v>93</v>
      </c>
      <c r="G79" s="137">
        <f>SUM(G72:G78)</f>
        <v>111</v>
      </c>
      <c r="H79" s="138">
        <v>0</v>
      </c>
      <c r="I79" s="139">
        <f t="shared" ref="I79:O79" si="6">SUM(I72:I78)</f>
        <v>7</v>
      </c>
      <c r="J79" s="116">
        <f t="shared" si="6"/>
        <v>2</v>
      </c>
      <c r="K79" s="116">
        <f t="shared" si="6"/>
        <v>4</v>
      </c>
      <c r="L79" s="116">
        <f t="shared" si="6"/>
        <v>0</v>
      </c>
      <c r="M79" s="116">
        <f t="shared" si="6"/>
        <v>0</v>
      </c>
      <c r="N79" s="116">
        <f t="shared" si="6"/>
        <v>0</v>
      </c>
      <c r="O79" s="117">
        <f t="shared" si="6"/>
        <v>98</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381</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1</v>
      </c>
      <c r="F99" s="177"/>
      <c r="G99" s="178"/>
      <c r="H99" s="178"/>
      <c r="I99" s="178"/>
      <c r="J99" s="178"/>
      <c r="K99" s="178"/>
      <c r="L99" s="178"/>
      <c r="M99" s="179">
        <v>1</v>
      </c>
      <c r="N99" s="165"/>
      <c r="O99" s="165"/>
      <c r="P99" s="165"/>
    </row>
    <row r="100" spans="1:16" ht="16.5" customHeight="1">
      <c r="A100" s="1891"/>
      <c r="B100" s="1899"/>
      <c r="C100" s="110">
        <v>2016</v>
      </c>
      <c r="D100" s="37">
        <v>1</v>
      </c>
      <c r="E100" s="38">
        <v>7</v>
      </c>
      <c r="F100" s="177"/>
      <c r="G100" s="178"/>
      <c r="H100" s="178"/>
      <c r="I100" s="178"/>
      <c r="J100" s="178"/>
      <c r="K100" s="178"/>
      <c r="L100" s="178"/>
      <c r="M100" s="179">
        <v>1</v>
      </c>
      <c r="N100" s="165"/>
      <c r="O100" s="165"/>
      <c r="P100" s="165"/>
    </row>
    <row r="101" spans="1:16" ht="16.5" customHeight="1">
      <c r="A101" s="1891"/>
      <c r="B101" s="1899"/>
      <c r="C101" s="110">
        <v>2017</v>
      </c>
      <c r="D101" s="37">
        <v>1</v>
      </c>
      <c r="E101" s="38">
        <v>6</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14</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t="s">
        <v>382</v>
      </c>
      <c r="B131" s="1855"/>
      <c r="C131" s="106">
        <v>2015</v>
      </c>
      <c r="D131" s="30">
        <v>12</v>
      </c>
      <c r="E131" s="31"/>
      <c r="F131" s="31"/>
      <c r="G131" s="195">
        <f t="shared" ref="G131:G136" si="11">SUM(D131:F131)</f>
        <v>12</v>
      </c>
      <c r="H131" s="185"/>
      <c r="I131" s="185"/>
      <c r="J131" s="185"/>
      <c r="K131" s="185"/>
      <c r="L131" s="185"/>
      <c r="M131" s="185"/>
      <c r="N131" s="185"/>
    </row>
    <row r="132" spans="1:16">
      <c r="A132" s="1854"/>
      <c r="B132" s="1855"/>
      <c r="C132" s="110">
        <v>2016</v>
      </c>
      <c r="D132" s="37">
        <v>52</v>
      </c>
      <c r="E132" s="38"/>
      <c r="F132" s="38"/>
      <c r="G132" s="195">
        <f t="shared" si="11"/>
        <v>52</v>
      </c>
      <c r="H132" s="185"/>
      <c r="I132" s="185"/>
      <c r="J132" s="185"/>
      <c r="K132" s="185"/>
      <c r="L132" s="185"/>
      <c r="M132" s="185"/>
      <c r="N132" s="185"/>
    </row>
    <row r="133" spans="1:16">
      <c r="A133" s="1854"/>
      <c r="B133" s="1855"/>
      <c r="C133" s="110">
        <v>2017</v>
      </c>
      <c r="D133" s="37">
        <v>44</v>
      </c>
      <c r="E133" s="38"/>
      <c r="F133" s="38"/>
      <c r="G133" s="195">
        <f t="shared" si="11"/>
        <v>44</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108</v>
      </c>
      <c r="E137" s="139">
        <f t="shared" ref="E137:F137" si="12">SUM(E131:E136)</f>
        <v>0</v>
      </c>
      <c r="F137" s="139">
        <f t="shared" si="12"/>
        <v>0</v>
      </c>
      <c r="G137" s="196">
        <f>SUM(G131:G136)</f>
        <v>108</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383</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2</v>
      </c>
      <c r="E179" s="38"/>
      <c r="F179" s="38"/>
      <c r="G179" s="284">
        <f t="shared" ref="G179:G184" si="19">SUM(D179:F179)</f>
        <v>2</v>
      </c>
      <c r="H179" s="411">
        <v>3</v>
      </c>
      <c r="I179" s="112"/>
      <c r="J179" s="38"/>
      <c r="K179" s="38"/>
      <c r="L179" s="38"/>
      <c r="M179" s="38"/>
      <c r="N179" s="38"/>
      <c r="O179" s="88">
        <v>2</v>
      </c>
    </row>
    <row r="180" spans="1:15">
      <c r="A180" s="1891"/>
      <c r="B180" s="1899"/>
      <c r="C180" s="110">
        <v>2016</v>
      </c>
      <c r="D180" s="37">
        <v>14</v>
      </c>
      <c r="E180" s="38">
        <v>1</v>
      </c>
      <c r="F180" s="38"/>
      <c r="G180" s="284">
        <f t="shared" si="19"/>
        <v>15</v>
      </c>
      <c r="H180" s="411">
        <v>79</v>
      </c>
      <c r="I180" s="112"/>
      <c r="J180" s="38">
        <v>1</v>
      </c>
      <c r="K180" s="38">
        <v>2</v>
      </c>
      <c r="L180" s="38">
        <v>2</v>
      </c>
      <c r="M180" s="38">
        <v>1</v>
      </c>
      <c r="N180" s="38"/>
      <c r="O180" s="88">
        <v>9</v>
      </c>
    </row>
    <row r="181" spans="1:15">
      <c r="A181" s="1891"/>
      <c r="B181" s="1899"/>
      <c r="C181" s="110">
        <v>2017</v>
      </c>
      <c r="D181" s="37">
        <v>2</v>
      </c>
      <c r="E181" s="38"/>
      <c r="F181" s="38"/>
      <c r="G181" s="284">
        <f t="shared" si="19"/>
        <v>2</v>
      </c>
      <c r="H181" s="411">
        <v>3</v>
      </c>
      <c r="I181" s="112"/>
      <c r="J181" s="38"/>
      <c r="K181" s="38"/>
      <c r="L181" s="38"/>
      <c r="M181" s="38">
        <v>1</v>
      </c>
      <c r="N181" s="38"/>
      <c r="O181" s="88">
        <v>1</v>
      </c>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69.75" customHeight="1" thickBot="1">
      <c r="A185" s="1893"/>
      <c r="B185" s="1900"/>
      <c r="C185" s="113" t="s">
        <v>13</v>
      </c>
      <c r="D185" s="139">
        <f>SUM(D178:D184)</f>
        <v>18</v>
      </c>
      <c r="E185" s="116">
        <f>SUM(E178:E184)</f>
        <v>1</v>
      </c>
      <c r="F185" s="116">
        <f>SUM(F178:F184)</f>
        <v>0</v>
      </c>
      <c r="G185" s="220">
        <f t="shared" ref="G185:O185" si="20">SUM(G178:G184)</f>
        <v>19</v>
      </c>
      <c r="H185" s="285">
        <f t="shared" si="20"/>
        <v>85</v>
      </c>
      <c r="I185" s="115">
        <f t="shared" si="20"/>
        <v>0</v>
      </c>
      <c r="J185" s="116">
        <f t="shared" si="20"/>
        <v>1</v>
      </c>
      <c r="K185" s="116">
        <f t="shared" si="20"/>
        <v>2</v>
      </c>
      <c r="L185" s="116">
        <f t="shared" si="20"/>
        <v>2</v>
      </c>
      <c r="M185" s="116">
        <f t="shared" si="20"/>
        <v>2</v>
      </c>
      <c r="N185" s="116">
        <f t="shared" si="20"/>
        <v>0</v>
      </c>
      <c r="O185" s="117">
        <f t="shared" si="20"/>
        <v>12</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384</v>
      </c>
      <c r="B189" s="1977"/>
      <c r="C189" s="290">
        <v>2014</v>
      </c>
      <c r="D189" s="133"/>
      <c r="E189" s="109"/>
      <c r="F189" s="109"/>
      <c r="G189" s="291">
        <f>SUM(D189:F189)</f>
        <v>0</v>
      </c>
      <c r="H189" s="108"/>
      <c r="I189" s="109"/>
      <c r="J189" s="109"/>
      <c r="K189" s="109"/>
      <c r="L189" s="134"/>
    </row>
    <row r="190" spans="1:15">
      <c r="A190" s="1978"/>
      <c r="B190" s="1855"/>
      <c r="C190" s="73">
        <v>2015</v>
      </c>
      <c r="D190" s="37">
        <v>218</v>
      </c>
      <c r="E190" s="38"/>
      <c r="F190" s="38"/>
      <c r="G190" s="291">
        <f t="shared" ref="G190:G195" si="21">SUM(D190:F190)</f>
        <v>218</v>
      </c>
      <c r="H190" s="112"/>
      <c r="I190" s="38">
        <v>63</v>
      </c>
      <c r="J190" s="38"/>
      <c r="K190" s="38"/>
      <c r="L190" s="88">
        <v>155</v>
      </c>
    </row>
    <row r="191" spans="1:15">
      <c r="A191" s="1978"/>
      <c r="B191" s="1855"/>
      <c r="C191" s="73">
        <v>2016</v>
      </c>
      <c r="D191" s="37">
        <v>943</v>
      </c>
      <c r="E191" s="38">
        <v>50</v>
      </c>
      <c r="F191" s="38"/>
      <c r="G191" s="291">
        <f t="shared" si="21"/>
        <v>993</v>
      </c>
      <c r="H191" s="112"/>
      <c r="I191" s="38">
        <v>117</v>
      </c>
      <c r="J191" s="38"/>
      <c r="K191" s="38">
        <v>327</v>
      </c>
      <c r="L191" s="88">
        <v>549</v>
      </c>
    </row>
    <row r="192" spans="1:15">
      <c r="A192" s="1978"/>
      <c r="B192" s="1855"/>
      <c r="C192" s="73">
        <v>2017</v>
      </c>
      <c r="D192" s="37">
        <v>100</v>
      </c>
      <c r="E192" s="38"/>
      <c r="F192" s="38"/>
      <c r="G192" s="291">
        <f t="shared" si="21"/>
        <v>100</v>
      </c>
      <c r="H192" s="112"/>
      <c r="I192" s="38">
        <v>35</v>
      </c>
      <c r="J192" s="38"/>
      <c r="K192" s="38">
        <v>32</v>
      </c>
      <c r="L192" s="88">
        <v>33</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93.75" customHeight="1" thickBot="1">
      <c r="A196" s="1979"/>
      <c r="B196" s="1857"/>
      <c r="C196" s="136" t="s">
        <v>13</v>
      </c>
      <c r="D196" s="139">
        <f t="shared" ref="D196:L196" si="22">SUM(D189:D195)</f>
        <v>1261</v>
      </c>
      <c r="E196" s="116">
        <f t="shared" si="22"/>
        <v>50</v>
      </c>
      <c r="F196" s="116">
        <f t="shared" si="22"/>
        <v>0</v>
      </c>
      <c r="G196" s="292">
        <f t="shared" si="22"/>
        <v>1311</v>
      </c>
      <c r="H196" s="115">
        <f t="shared" si="22"/>
        <v>0</v>
      </c>
      <c r="I196" s="116">
        <f t="shared" si="22"/>
        <v>215</v>
      </c>
      <c r="J196" s="116">
        <f t="shared" si="22"/>
        <v>0</v>
      </c>
      <c r="K196" s="116">
        <f t="shared" si="22"/>
        <v>359</v>
      </c>
      <c r="L196" s="117">
        <f t="shared" si="22"/>
        <v>737</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385</v>
      </c>
      <c r="C213" s="72"/>
      <c r="D213" s="328">
        <f>SUM(D214:D217)</f>
        <v>351318.84</v>
      </c>
      <c r="E213" s="328">
        <f>E214+E215+E216+E217</f>
        <v>969960.74</v>
      </c>
      <c r="F213" s="328">
        <f>F214+F216</f>
        <v>280604.2</v>
      </c>
      <c r="G213" s="135"/>
      <c r="H213" s="135"/>
      <c r="I213" s="326"/>
    </row>
    <row r="214" spans="1:12">
      <c r="A214" t="s">
        <v>164</v>
      </c>
      <c r="B214" s="1974"/>
      <c r="C214" s="72"/>
      <c r="D214" s="328">
        <v>304534.56</v>
      </c>
      <c r="E214" s="328">
        <v>964690.94</v>
      </c>
      <c r="F214" s="328">
        <v>160216.41</v>
      </c>
      <c r="G214" s="135"/>
      <c r="H214" s="135"/>
      <c r="I214" s="326"/>
    </row>
    <row r="215" spans="1:12">
      <c r="A215" t="s">
        <v>165</v>
      </c>
      <c r="B215" s="1974"/>
      <c r="C215" s="72"/>
      <c r="D215" s="328">
        <v>23699.64</v>
      </c>
      <c r="E215" s="328"/>
      <c r="F215" s="328"/>
      <c r="G215" s="135"/>
      <c r="H215" s="135"/>
      <c r="I215" s="326"/>
    </row>
    <row r="216" spans="1:12">
      <c r="A216" t="s">
        <v>166</v>
      </c>
      <c r="B216" s="1974"/>
      <c r="C216" s="72"/>
      <c r="D216" s="328">
        <v>22644.639999999999</v>
      </c>
      <c r="E216" s="328">
        <v>5239.8</v>
      </c>
      <c r="F216" s="328">
        <v>120387.79</v>
      </c>
      <c r="G216" s="135"/>
      <c r="H216" s="135"/>
      <c r="I216" s="326"/>
    </row>
    <row r="217" spans="1:12">
      <c r="A217" t="s">
        <v>167</v>
      </c>
      <c r="B217" s="1974"/>
      <c r="C217" s="72"/>
      <c r="D217" s="328">
        <v>440</v>
      </c>
      <c r="E217" s="328">
        <v>30</v>
      </c>
      <c r="F217" s="328"/>
      <c r="G217" s="135"/>
      <c r="H217" s="135"/>
      <c r="I217" s="326"/>
    </row>
    <row r="218" spans="1:12" ht="30">
      <c r="A218" s="56" t="s">
        <v>168</v>
      </c>
      <c r="B218" s="1974"/>
      <c r="C218" s="72"/>
      <c r="D218" s="328">
        <v>159904.85</v>
      </c>
      <c r="E218" s="328">
        <v>251930.35</v>
      </c>
      <c r="F218" s="328">
        <v>221338.85</v>
      </c>
      <c r="G218" s="135"/>
      <c r="H218" s="135"/>
      <c r="I218" s="326"/>
    </row>
    <row r="219" spans="1:12" ht="15.75" thickBot="1">
      <c r="A219" s="331"/>
      <c r="B219" s="1975"/>
      <c r="C219" s="42" t="s">
        <v>13</v>
      </c>
      <c r="D219" s="332">
        <f>SUM(D214:D218)</f>
        <v>511223.69000000006</v>
      </c>
      <c r="E219" s="332">
        <f t="shared" ref="E219:I219" si="24">SUM(E214:E218)</f>
        <v>1221891.0900000001</v>
      </c>
      <c r="F219" s="332">
        <f>F213+F218</f>
        <v>501943.05000000005</v>
      </c>
      <c r="G219" s="333">
        <f t="shared" si="24"/>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1"/>
  <sheetViews>
    <sheetView topLeftCell="B7" zoomScale="80" zoomScaleNormal="80" workbookViewId="0">
      <selection activeCell="H18" sqref="H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386</v>
      </c>
      <c r="C1" s="1944"/>
      <c r="D1" s="1944"/>
      <c r="E1" s="1944"/>
      <c r="F1" s="1944"/>
      <c r="G1" s="2433"/>
      <c r="H1" s="2433"/>
      <c r="I1" s="2433"/>
      <c r="J1" s="2433"/>
      <c r="K1" s="2433"/>
      <c r="L1" s="2433"/>
      <c r="M1" s="2433"/>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1486" t="s">
        <v>10</v>
      </c>
      <c r="E16" s="1487" t="s">
        <v>11</v>
      </c>
      <c r="F16" s="1487" t="s">
        <v>12</v>
      </c>
      <c r="G16" s="1488" t="s">
        <v>13</v>
      </c>
      <c r="H16" s="1489" t="s">
        <v>14</v>
      </c>
      <c r="I16" s="1490" t="s">
        <v>15</v>
      </c>
      <c r="J16" s="1490" t="s">
        <v>16</v>
      </c>
      <c r="K16" s="1490" t="s">
        <v>17</v>
      </c>
      <c r="L16" s="1490" t="s">
        <v>18</v>
      </c>
      <c r="M16" s="1491" t="s">
        <v>19</v>
      </c>
      <c r="N16" s="25" t="s">
        <v>20</v>
      </c>
      <c r="O16" s="27" t="s">
        <v>21</v>
      </c>
      <c r="P16" s="28"/>
      <c r="Q16" s="28"/>
      <c r="R16" s="28"/>
      <c r="S16" s="28"/>
      <c r="T16" s="28"/>
      <c r="U16" s="28"/>
      <c r="V16" s="28"/>
      <c r="W16" s="28"/>
      <c r="X16" s="28"/>
      <c r="Y16" s="28"/>
    </row>
    <row r="17" spans="1:25" ht="15" customHeight="1">
      <c r="A17" s="1874" t="s">
        <v>387</v>
      </c>
      <c r="B17" s="1855"/>
      <c r="C17" s="29">
        <v>2014</v>
      </c>
      <c r="D17" s="1492"/>
      <c r="E17" s="1493"/>
      <c r="F17" s="1493"/>
      <c r="G17" s="1494">
        <f t="shared" ref="G17:G23" si="0">SUM(D17:F17)</f>
        <v>0</v>
      </c>
      <c r="H17" s="1495"/>
      <c r="I17" s="1493"/>
      <c r="J17" s="1493"/>
      <c r="K17" s="1493"/>
      <c r="L17" s="1493"/>
      <c r="M17" s="1493"/>
      <c r="N17" s="31"/>
      <c r="O17" s="34"/>
      <c r="P17" s="35"/>
      <c r="Q17" s="35"/>
      <c r="R17" s="35"/>
      <c r="S17" s="35"/>
      <c r="T17" s="35"/>
      <c r="U17" s="35"/>
      <c r="V17" s="35"/>
      <c r="W17" s="35"/>
      <c r="X17" s="35"/>
      <c r="Y17" s="35"/>
    </row>
    <row r="18" spans="1:25">
      <c r="A18" s="1854"/>
      <c r="B18" s="1855"/>
      <c r="C18" s="36">
        <v>2015</v>
      </c>
      <c r="D18" s="37">
        <v>2</v>
      </c>
      <c r="E18" s="38">
        <v>5</v>
      </c>
      <c r="F18" s="578"/>
      <c r="G18" s="1494">
        <f>SUM(D18:F18)</f>
        <v>7</v>
      </c>
      <c r="H18" s="39">
        <v>1</v>
      </c>
      <c r="I18" s="38"/>
      <c r="J18" s="38"/>
      <c r="K18" s="38">
        <v>4</v>
      </c>
      <c r="L18" s="38"/>
      <c r="M18" s="38"/>
      <c r="N18" s="38"/>
      <c r="O18" s="40">
        <v>2</v>
      </c>
      <c r="P18" s="35"/>
      <c r="Q18" s="35"/>
      <c r="R18" s="35"/>
      <c r="S18" s="35"/>
      <c r="T18" s="35"/>
      <c r="U18" s="35"/>
      <c r="V18" s="35"/>
      <c r="W18" s="35"/>
      <c r="X18" s="35"/>
      <c r="Y18" s="35"/>
    </row>
    <row r="19" spans="1:25">
      <c r="A19" s="1854"/>
      <c r="B19" s="1855"/>
      <c r="C19" s="36">
        <v>2016</v>
      </c>
      <c r="D19" s="584">
        <f>50+2</f>
        <v>52</v>
      </c>
      <c r="E19" s="578">
        <v>4</v>
      </c>
      <c r="F19" s="578">
        <v>4</v>
      </c>
      <c r="G19" s="1494">
        <f t="shared" si="0"/>
        <v>60</v>
      </c>
      <c r="H19" s="582">
        <v>34</v>
      </c>
      <c r="I19" s="578">
        <v>2</v>
      </c>
      <c r="J19" s="578"/>
      <c r="K19" s="578">
        <f>14+2</f>
        <v>16</v>
      </c>
      <c r="L19" s="578"/>
      <c r="M19" s="578">
        <v>3</v>
      </c>
      <c r="N19" s="578"/>
      <c r="O19" s="579">
        <v>5</v>
      </c>
      <c r="P19" s="35"/>
      <c r="Q19" s="35"/>
      <c r="R19" s="35"/>
      <c r="S19" s="35"/>
      <c r="T19" s="35"/>
      <c r="U19" s="35"/>
      <c r="V19" s="35"/>
      <c r="W19" s="35"/>
      <c r="X19" s="35"/>
      <c r="Y19" s="35"/>
    </row>
    <row r="20" spans="1:25">
      <c r="A20" s="1854"/>
      <c r="B20" s="1855"/>
      <c r="C20" s="36">
        <v>2017</v>
      </c>
      <c r="D20" s="37">
        <v>27</v>
      </c>
      <c r="E20" s="38">
        <v>2</v>
      </c>
      <c r="F20" s="38">
        <v>5</v>
      </c>
      <c r="G20" s="32">
        <f t="shared" si="0"/>
        <v>34</v>
      </c>
      <c r="H20" s="39">
        <v>2</v>
      </c>
      <c r="I20" s="38">
        <v>7</v>
      </c>
      <c r="J20" s="38"/>
      <c r="K20" s="38">
        <v>3</v>
      </c>
      <c r="L20" s="38">
        <v>10</v>
      </c>
      <c r="M20" s="38">
        <v>12</v>
      </c>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 t="shared" si="0"/>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87.75" customHeight="1" thickBot="1">
      <c r="A24" s="1856"/>
      <c r="B24" s="1857"/>
      <c r="C24" s="1496" t="s">
        <v>13</v>
      </c>
      <c r="D24" s="1497">
        <f>SUM(D17:D23)</f>
        <v>81</v>
      </c>
      <c r="E24" s="1498">
        <f>SUM(E17:E23)</f>
        <v>11</v>
      </c>
      <c r="F24" s="1498">
        <f>SUM(F17:F23)</f>
        <v>9</v>
      </c>
      <c r="G24" s="1499">
        <f>SUM(D24:F24)</f>
        <v>101</v>
      </c>
      <c r="H24" s="1500">
        <f>SUM(H17:H23)</f>
        <v>37</v>
      </c>
      <c r="I24" s="1501">
        <f>SUM(I17:I23)</f>
        <v>9</v>
      </c>
      <c r="J24" s="1501">
        <f t="shared" ref="J24:N24" si="1">SUM(J17:J23)</f>
        <v>0</v>
      </c>
      <c r="K24" s="1501">
        <f t="shared" si="1"/>
        <v>23</v>
      </c>
      <c r="L24" s="1501">
        <f t="shared" si="1"/>
        <v>10</v>
      </c>
      <c r="M24" s="1501">
        <f t="shared" si="1"/>
        <v>15</v>
      </c>
      <c r="N24" s="1501">
        <f t="shared" si="1"/>
        <v>0</v>
      </c>
      <c r="O24" s="1502">
        <f>SUM(O17:O23)</f>
        <v>7</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388</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524</v>
      </c>
      <c r="E29" s="38">
        <v>10384</v>
      </c>
      <c r="F29" s="38"/>
      <c r="G29" s="58">
        <f t="shared" ref="G29:G35" si="2">SUM(D29:F29)</f>
        <v>10908</v>
      </c>
      <c r="H29" s="35"/>
      <c r="I29" s="35"/>
      <c r="J29" s="35"/>
      <c r="K29" s="35"/>
      <c r="L29" s="35"/>
      <c r="M29" s="35"/>
      <c r="N29" s="35"/>
      <c r="O29" s="35"/>
      <c r="P29" s="35"/>
      <c r="Q29" s="7"/>
    </row>
    <row r="30" spans="1:25">
      <c r="A30" s="1854"/>
      <c r="B30" s="1855"/>
      <c r="C30" s="59">
        <v>2016</v>
      </c>
      <c r="D30" s="39">
        <f>40563+100+56</f>
        <v>40719</v>
      </c>
      <c r="E30" s="38">
        <v>103000</v>
      </c>
      <c r="F30" s="329">
        <v>412148</v>
      </c>
      <c r="G30" s="58">
        <f t="shared" si="2"/>
        <v>555867</v>
      </c>
      <c r="H30" s="35"/>
      <c r="I30" s="35"/>
      <c r="J30" s="35"/>
      <c r="K30" s="35"/>
      <c r="L30" s="35"/>
      <c r="M30" s="35"/>
      <c r="N30" s="35"/>
      <c r="O30" s="35"/>
      <c r="P30" s="35"/>
      <c r="Q30" s="7"/>
    </row>
    <row r="31" spans="1:25">
      <c r="A31" s="1854"/>
      <c r="B31" s="1855"/>
      <c r="C31" s="59">
        <v>2017</v>
      </c>
      <c r="D31" s="39">
        <v>32557</v>
      </c>
      <c r="E31" s="38">
        <v>48000</v>
      </c>
      <c r="F31" s="38">
        <v>1812291</v>
      </c>
      <c r="G31" s="58">
        <f t="shared" si="2"/>
        <v>1892848</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101.25" customHeight="1" thickBot="1">
      <c r="A35" s="1856"/>
      <c r="B35" s="1857"/>
      <c r="C35" s="61" t="s">
        <v>13</v>
      </c>
      <c r="D35" s="46">
        <f>SUM(D28:D34)</f>
        <v>73800</v>
      </c>
      <c r="E35" s="44">
        <f>SUM(E28:E34)</f>
        <v>161384</v>
      </c>
      <c r="F35" s="44">
        <f>SUM(F28:F34)</f>
        <v>2224439</v>
      </c>
      <c r="G35" s="48">
        <f t="shared" si="2"/>
        <v>2459623</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12579</v>
      </c>
      <c r="E41" s="36">
        <v>2515</v>
      </c>
      <c r="F41" s="7"/>
      <c r="G41" s="35"/>
      <c r="H41" s="35"/>
    </row>
    <row r="42" spans="1:17">
      <c r="A42" s="1854"/>
      <c r="B42" s="1855"/>
      <c r="C42" s="73">
        <v>2016</v>
      </c>
      <c r="D42" s="37">
        <v>6729</v>
      </c>
      <c r="E42" s="36">
        <v>4115</v>
      </c>
      <c r="F42" s="7"/>
      <c r="G42" s="35"/>
      <c r="H42" s="35"/>
    </row>
    <row r="43" spans="1:17">
      <c r="A43" s="1854"/>
      <c r="B43" s="1855"/>
      <c r="C43" s="73">
        <v>2017</v>
      </c>
      <c r="D43" s="37">
        <v>6925</v>
      </c>
      <c r="E43" s="36">
        <v>3588</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26233</v>
      </c>
      <c r="E47" s="455">
        <f>SUM(E40:E46)</f>
        <v>10218</v>
      </c>
      <c r="F47" s="78"/>
      <c r="G47" s="35"/>
      <c r="H47" s="35"/>
    </row>
    <row r="48" spans="1:17" ht="15.75" thickBot="1">
      <c r="A48" s="1503"/>
      <c r="B48" s="445"/>
      <c r="C48" s="141"/>
      <c r="D48" s="78"/>
      <c r="E48" s="78"/>
      <c r="F48" s="78"/>
      <c r="G48" s="35"/>
      <c r="H48" s="35"/>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389</v>
      </c>
      <c r="B62" s="1899"/>
      <c r="C62" s="106">
        <v>2014</v>
      </c>
      <c r="D62" s="107"/>
      <c r="E62" s="108"/>
      <c r="F62" s="109"/>
      <c r="G62" s="109"/>
      <c r="H62" s="109"/>
      <c r="I62" s="109"/>
      <c r="J62" s="109"/>
      <c r="K62" s="109"/>
      <c r="L62" s="34"/>
      <c r="M62" s="7"/>
      <c r="N62" s="7"/>
      <c r="O62" s="7"/>
    </row>
    <row r="63" spans="1:15">
      <c r="A63" s="1891"/>
      <c r="B63" s="1899"/>
      <c r="C63" s="110">
        <v>2015</v>
      </c>
      <c r="D63" s="178">
        <v>1</v>
      </c>
      <c r="E63" s="177"/>
      <c r="F63" s="178"/>
      <c r="G63" s="178"/>
      <c r="H63" s="178"/>
      <c r="I63" s="345"/>
      <c r="J63" s="345"/>
      <c r="K63" s="345"/>
      <c r="L63" s="397">
        <v>1</v>
      </c>
      <c r="M63" s="7"/>
      <c r="N63" s="7"/>
      <c r="O63" s="7"/>
    </row>
    <row r="64" spans="1:15">
      <c r="A64" s="1891"/>
      <c r="B64" s="1899"/>
      <c r="C64" s="110">
        <v>2016</v>
      </c>
      <c r="D64" s="178">
        <v>19</v>
      </c>
      <c r="E64" s="177"/>
      <c r="F64" s="178"/>
      <c r="G64" s="178"/>
      <c r="H64" s="178">
        <v>19</v>
      </c>
      <c r="I64" s="345"/>
      <c r="J64" s="345"/>
      <c r="K64" s="345"/>
      <c r="L64" s="593"/>
      <c r="M64" s="7"/>
      <c r="N64" s="7"/>
      <c r="O64" s="7"/>
    </row>
    <row r="65" spans="1:20">
      <c r="A65" s="1891"/>
      <c r="B65" s="1899"/>
      <c r="C65" s="110">
        <v>2017</v>
      </c>
      <c r="D65" s="111">
        <v>19</v>
      </c>
      <c r="E65" s="112"/>
      <c r="F65" s="38"/>
      <c r="G65" s="38"/>
      <c r="H65" s="38">
        <v>17</v>
      </c>
      <c r="I65" s="38"/>
      <c r="J65" s="38"/>
      <c r="K65" s="38">
        <v>2</v>
      </c>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39</v>
      </c>
      <c r="E69" s="115">
        <f>SUM(E62:E68)</f>
        <v>0</v>
      </c>
      <c r="F69" s="116">
        <f t="shared" ref="F69:I69" si="4">SUM(F62:F68)</f>
        <v>0</v>
      </c>
      <c r="G69" s="116">
        <f t="shared" si="4"/>
        <v>0</v>
      </c>
      <c r="H69" s="116">
        <f t="shared" si="4"/>
        <v>36</v>
      </c>
      <c r="I69" s="116">
        <f t="shared" si="4"/>
        <v>0</v>
      </c>
      <c r="J69" s="116"/>
      <c r="K69" s="116">
        <f>SUM(K62:K68)</f>
        <v>2</v>
      </c>
      <c r="L69" s="117">
        <f>SUM(L62:L68)</f>
        <v>1</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t="s">
        <v>390</v>
      </c>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v>2</v>
      </c>
      <c r="F73" s="135"/>
      <c r="G73" s="132">
        <f t="shared" ref="G73:G78" si="5">SUM(D73:F73)</f>
        <v>2</v>
      </c>
      <c r="H73" s="37"/>
      <c r="I73" s="37"/>
      <c r="J73" s="38"/>
      <c r="K73" s="38">
        <v>2</v>
      </c>
      <c r="L73" s="38"/>
      <c r="M73" s="38"/>
      <c r="N73" s="38"/>
      <c r="O73" s="88"/>
    </row>
    <row r="74" spans="1:20">
      <c r="A74" s="1854"/>
      <c r="B74" s="1899"/>
      <c r="C74" s="73">
        <v>2016</v>
      </c>
      <c r="D74" s="1504">
        <v>5</v>
      </c>
      <c r="E74" s="1504">
        <v>4</v>
      </c>
      <c r="F74" s="1504"/>
      <c r="G74" s="384">
        <f t="shared" si="5"/>
        <v>9</v>
      </c>
      <c r="H74" s="217"/>
      <c r="I74" s="217">
        <v>1</v>
      </c>
      <c r="J74" s="178"/>
      <c r="K74" s="178">
        <v>8</v>
      </c>
      <c r="L74" s="178"/>
      <c r="M74" s="178"/>
      <c r="N74" s="178"/>
      <c r="O74" s="88"/>
    </row>
    <row r="75" spans="1:20">
      <c r="A75" s="1854"/>
      <c r="B75" s="1899"/>
      <c r="C75" s="73">
        <v>2017</v>
      </c>
      <c r="D75" s="1504">
        <v>1</v>
      </c>
      <c r="E75" s="1504">
        <v>1</v>
      </c>
      <c r="F75" s="1504"/>
      <c r="G75" s="384">
        <f t="shared" si="5"/>
        <v>2</v>
      </c>
      <c r="H75" s="217"/>
      <c r="I75" s="217"/>
      <c r="J75" s="178"/>
      <c r="K75" s="178">
        <v>2</v>
      </c>
      <c r="L75" s="178"/>
      <c r="M75" s="178"/>
      <c r="N75" s="178"/>
      <c r="O75" s="88"/>
    </row>
    <row r="76" spans="1:20">
      <c r="A76" s="1854"/>
      <c r="B76" s="1899"/>
      <c r="C76" s="73">
        <v>2018</v>
      </c>
      <c r="D76" s="1505"/>
      <c r="E76" s="1505"/>
      <c r="F76" s="1505"/>
      <c r="G76" s="384">
        <f t="shared" si="5"/>
        <v>0</v>
      </c>
      <c r="H76" s="1506"/>
      <c r="I76" s="1506"/>
      <c r="J76" s="345"/>
      <c r="K76" s="345"/>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6</v>
      </c>
      <c r="E79" s="114">
        <f>SUM(E72:E78)</f>
        <v>7</v>
      </c>
      <c r="F79" s="114">
        <f>SUM(F72:F78)</f>
        <v>0</v>
      </c>
      <c r="G79" s="137">
        <f>SUM(G72:G78)</f>
        <v>13</v>
      </c>
      <c r="H79" s="138">
        <v>0</v>
      </c>
      <c r="I79" s="139">
        <f t="shared" ref="I79:O79" si="6">SUM(I72:I78)</f>
        <v>1</v>
      </c>
      <c r="J79" s="116">
        <f t="shared" si="6"/>
        <v>0</v>
      </c>
      <c r="K79" s="116">
        <f t="shared" si="6"/>
        <v>12</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2013" t="s">
        <v>391</v>
      </c>
      <c r="B85" s="1899"/>
      <c r="C85" s="72">
        <v>2014</v>
      </c>
      <c r="D85" s="154"/>
      <c r="E85" s="155"/>
      <c r="F85" s="31"/>
      <c r="G85" s="31"/>
      <c r="H85" s="31"/>
      <c r="I85" s="31"/>
      <c r="J85" s="31"/>
      <c r="K85" s="34"/>
    </row>
    <row r="86" spans="1:16">
      <c r="A86" s="1939"/>
      <c r="B86" s="1899"/>
      <c r="C86" s="73">
        <v>2015</v>
      </c>
      <c r="D86" s="156">
        <v>30</v>
      </c>
      <c r="E86" s="112"/>
      <c r="F86" s="38"/>
      <c r="G86" s="38"/>
      <c r="H86" s="38"/>
      <c r="I86" s="38"/>
      <c r="J86" s="38"/>
      <c r="K86" s="88">
        <v>30</v>
      </c>
    </row>
    <row r="87" spans="1:16">
      <c r="A87" s="1939"/>
      <c r="B87" s="1899"/>
      <c r="C87" s="362">
        <v>2016</v>
      </c>
      <c r="D87" s="219"/>
      <c r="E87" s="177"/>
      <c r="F87" s="178"/>
      <c r="G87" s="178"/>
      <c r="H87" s="178"/>
      <c r="I87" s="178"/>
      <c r="J87" s="178"/>
      <c r="K87" s="179"/>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30</v>
      </c>
      <c r="E92" s="115">
        <f t="shared" si="7"/>
        <v>0</v>
      </c>
      <c r="F92" s="116">
        <f t="shared" si="7"/>
        <v>0</v>
      </c>
      <c r="G92" s="116">
        <f t="shared" si="7"/>
        <v>0</v>
      </c>
      <c r="H92" s="116">
        <f t="shared" si="7"/>
        <v>0</v>
      </c>
      <c r="I92" s="116">
        <f t="shared" si="7"/>
        <v>0</v>
      </c>
      <c r="J92" s="116">
        <f>SUM(J85:J91)</f>
        <v>0</v>
      </c>
      <c r="K92" s="117">
        <f>SUM(K85:K91)</f>
        <v>30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392</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2</v>
      </c>
      <c r="F99" s="177"/>
      <c r="G99" s="178"/>
      <c r="H99" s="178"/>
      <c r="I99" s="178"/>
      <c r="J99" s="178"/>
      <c r="K99" s="178"/>
      <c r="L99" s="178"/>
      <c r="M99" s="179">
        <v>1</v>
      </c>
      <c r="N99" s="165"/>
      <c r="O99" s="165"/>
      <c r="P99" s="165"/>
    </row>
    <row r="100" spans="1:16" ht="16.5" customHeight="1">
      <c r="A100" s="1891"/>
      <c r="B100" s="1899"/>
      <c r="C100" s="110">
        <v>2016</v>
      </c>
      <c r="D100" s="217">
        <v>1</v>
      </c>
      <c r="E100" s="178">
        <v>6</v>
      </c>
      <c r="F100" s="177"/>
      <c r="G100" s="178"/>
      <c r="H100" s="178"/>
      <c r="I100" s="178"/>
      <c r="J100" s="178"/>
      <c r="K100" s="178"/>
      <c r="L100" s="178"/>
      <c r="M100" s="179">
        <v>1</v>
      </c>
      <c r="N100" s="165"/>
      <c r="O100" s="165"/>
      <c r="P100" s="165"/>
    </row>
    <row r="101" spans="1:16" ht="16.5" customHeight="1">
      <c r="A101" s="1891"/>
      <c r="B101" s="1899"/>
      <c r="C101" s="110">
        <v>2017</v>
      </c>
      <c r="D101" s="37">
        <v>1</v>
      </c>
      <c r="E101" s="38">
        <v>8</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16</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5.5" customHeight="1" thickBot="1">
      <c r="A117" s="1507"/>
      <c r="B117" s="1508"/>
      <c r="C117" s="1509"/>
      <c r="D117" s="78"/>
      <c r="E117" s="165"/>
      <c r="F117" s="165"/>
      <c r="G117" s="165"/>
      <c r="H117" s="165"/>
      <c r="I117" s="165"/>
      <c r="J117" s="165"/>
      <c r="K117" s="165"/>
      <c r="L117" s="1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t="s">
        <v>393</v>
      </c>
      <c r="B131" s="1855"/>
      <c r="C131" s="106">
        <v>2014</v>
      </c>
      <c r="D131" s="30"/>
      <c r="E131" s="31"/>
      <c r="F131" s="31"/>
      <c r="G131" s="195">
        <f t="shared" ref="G131:G137" si="11">SUM(D131:F131)</f>
        <v>0</v>
      </c>
      <c r="H131" s="185"/>
      <c r="I131" s="185"/>
      <c r="J131" s="185"/>
      <c r="K131" s="185"/>
      <c r="L131" s="185"/>
      <c r="M131" s="185"/>
      <c r="N131" s="185"/>
    </row>
    <row r="132" spans="1:16" ht="15" customHeight="1">
      <c r="A132" s="1874"/>
      <c r="B132" s="1855"/>
      <c r="C132" s="1510">
        <v>2015</v>
      </c>
      <c r="D132" s="395">
        <v>35</v>
      </c>
      <c r="E132" s="339"/>
      <c r="F132" s="339"/>
      <c r="G132" s="195">
        <v>35</v>
      </c>
      <c r="H132" s="185"/>
      <c r="I132" s="185"/>
      <c r="J132" s="185"/>
      <c r="K132" s="185"/>
      <c r="L132" s="185"/>
      <c r="M132" s="185"/>
      <c r="N132" s="185"/>
    </row>
    <row r="133" spans="1:16">
      <c r="A133" s="1854"/>
      <c r="B133" s="1855"/>
      <c r="C133" s="110">
        <v>2016</v>
      </c>
      <c r="D133" s="37">
        <v>91</v>
      </c>
      <c r="E133" s="38"/>
      <c r="F133" s="38"/>
      <c r="G133" s="195">
        <f t="shared" si="11"/>
        <v>91</v>
      </c>
      <c r="H133" s="185"/>
      <c r="I133" s="185"/>
      <c r="J133" s="185"/>
      <c r="K133" s="185"/>
      <c r="L133" s="185"/>
      <c r="M133" s="185"/>
      <c r="N133" s="185"/>
    </row>
    <row r="134" spans="1:16">
      <c r="A134" s="1854"/>
      <c r="B134" s="1855"/>
      <c r="C134" s="110">
        <v>2017</v>
      </c>
      <c r="D134" s="37">
        <v>126</v>
      </c>
      <c r="E134" s="38"/>
      <c r="F134" s="38"/>
      <c r="G134" s="195">
        <f t="shared" si="11"/>
        <v>126</v>
      </c>
      <c r="H134" s="185"/>
      <c r="I134" s="185"/>
      <c r="J134" s="185"/>
      <c r="K134" s="185"/>
      <c r="L134" s="185"/>
      <c r="M134" s="185"/>
      <c r="N134" s="185"/>
    </row>
    <row r="135" spans="1:16">
      <c r="A135" s="1854"/>
      <c r="B135" s="1855"/>
      <c r="C135" s="110">
        <v>2018</v>
      </c>
      <c r="D135" s="37"/>
      <c r="E135" s="38"/>
      <c r="F135" s="38"/>
      <c r="G135" s="195">
        <f t="shared" si="11"/>
        <v>0</v>
      </c>
      <c r="H135" s="185"/>
      <c r="I135" s="185"/>
      <c r="J135" s="185"/>
      <c r="K135" s="185"/>
      <c r="L135" s="185"/>
      <c r="M135" s="185"/>
      <c r="N135" s="185"/>
    </row>
    <row r="136" spans="1:16">
      <c r="A136" s="1854"/>
      <c r="B136" s="1855"/>
      <c r="C136" s="110">
        <v>2019</v>
      </c>
      <c r="D136" s="37"/>
      <c r="E136" s="38"/>
      <c r="F136" s="38"/>
      <c r="G136" s="195">
        <f t="shared" si="11"/>
        <v>0</v>
      </c>
      <c r="H136" s="185"/>
      <c r="I136" s="185"/>
      <c r="J136" s="185"/>
      <c r="K136" s="185"/>
      <c r="L136" s="185"/>
      <c r="M136" s="185"/>
      <c r="N136" s="185"/>
    </row>
    <row r="137" spans="1:16">
      <c r="A137" s="1854"/>
      <c r="B137" s="1855"/>
      <c r="C137" s="110">
        <v>2020</v>
      </c>
      <c r="D137" s="37"/>
      <c r="E137" s="38"/>
      <c r="F137" s="38"/>
      <c r="G137" s="195">
        <f t="shared" si="11"/>
        <v>0</v>
      </c>
      <c r="H137" s="185"/>
      <c r="I137" s="185"/>
      <c r="J137" s="185"/>
      <c r="K137" s="185"/>
      <c r="L137" s="185"/>
      <c r="M137" s="185"/>
      <c r="N137" s="185"/>
    </row>
    <row r="138" spans="1:16" ht="17.25" customHeight="1" thickBot="1">
      <c r="A138" s="1856"/>
      <c r="B138" s="1857"/>
      <c r="C138" s="113" t="s">
        <v>13</v>
      </c>
      <c r="D138" s="139">
        <f>SUM(D131:D137)</f>
        <v>252</v>
      </c>
      <c r="E138" s="139">
        <f t="shared" ref="E138:F138" si="12">SUM(E131:E137)</f>
        <v>0</v>
      </c>
      <c r="F138" s="139">
        <f t="shared" si="12"/>
        <v>0</v>
      </c>
      <c r="G138" s="196">
        <f>SUM(G131:G137)</f>
        <v>252</v>
      </c>
      <c r="H138" s="185"/>
      <c r="I138" s="185"/>
      <c r="J138" s="185"/>
      <c r="K138" s="185"/>
      <c r="L138" s="185"/>
      <c r="M138" s="185"/>
      <c r="N138" s="185"/>
    </row>
    <row r="139" spans="1:16">
      <c r="A139" s="183"/>
      <c r="B139" s="183"/>
      <c r="C139" s="184"/>
      <c r="D139" s="7"/>
      <c r="E139" s="7"/>
      <c r="H139" s="185"/>
      <c r="I139" s="185"/>
      <c r="J139" s="185"/>
      <c r="K139" s="185"/>
      <c r="L139" s="185"/>
      <c r="M139" s="185"/>
      <c r="N139" s="185"/>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394</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9</v>
      </c>
      <c r="E179" s="38"/>
      <c r="F179" s="38"/>
      <c r="G179" s="284">
        <f t="shared" ref="G179:G184" si="19">SUM(D179:F179)</f>
        <v>9</v>
      </c>
      <c r="H179" s="411"/>
      <c r="I179" s="112"/>
      <c r="J179" s="38"/>
      <c r="K179" s="38"/>
      <c r="L179" s="38">
        <v>6</v>
      </c>
      <c r="M179" s="38">
        <v>3</v>
      </c>
      <c r="N179" s="38"/>
      <c r="O179" s="88"/>
    </row>
    <row r="180" spans="1:15">
      <c r="A180" s="1891"/>
      <c r="B180" s="1899"/>
      <c r="C180" s="110">
        <v>2016</v>
      </c>
      <c r="D180" s="217">
        <f>52+2</f>
        <v>54</v>
      </c>
      <c r="E180" s="178">
        <v>3</v>
      </c>
      <c r="F180" s="178"/>
      <c r="G180" s="213">
        <f t="shared" si="19"/>
        <v>57</v>
      </c>
      <c r="H180" s="412">
        <v>66</v>
      </c>
      <c r="I180" s="177"/>
      <c r="J180" s="178"/>
      <c r="K180" s="178"/>
      <c r="L180" s="178">
        <f>30+2</f>
        <v>32</v>
      </c>
      <c r="M180" s="178">
        <v>19</v>
      </c>
      <c r="N180" s="178"/>
      <c r="O180" s="179">
        <v>6</v>
      </c>
    </row>
    <row r="181" spans="1:15">
      <c r="A181" s="1891"/>
      <c r="B181" s="1899"/>
      <c r="C181" s="110">
        <v>2017</v>
      </c>
      <c r="D181" s="37">
        <v>22</v>
      </c>
      <c r="E181" s="38">
        <v>8</v>
      </c>
      <c r="F181" s="38"/>
      <c r="G181" s="213">
        <f t="shared" si="19"/>
        <v>30</v>
      </c>
      <c r="H181" s="411">
        <v>39</v>
      </c>
      <c r="I181" s="112">
        <v>2</v>
      </c>
      <c r="J181" s="38">
        <f>3+5</f>
        <v>8</v>
      </c>
      <c r="K181" s="38"/>
      <c r="L181" s="38">
        <v>14</v>
      </c>
      <c r="M181" s="38">
        <v>6</v>
      </c>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85</v>
      </c>
      <c r="E185" s="116">
        <f>SUM(E178:E184)</f>
        <v>11</v>
      </c>
      <c r="F185" s="116">
        <f>SUM(F178:F184)</f>
        <v>0</v>
      </c>
      <c r="G185" s="220">
        <f t="shared" ref="G185:O185" si="20">SUM(G178:G184)</f>
        <v>96</v>
      </c>
      <c r="H185" s="285">
        <f t="shared" si="20"/>
        <v>105</v>
      </c>
      <c r="I185" s="115">
        <f t="shared" si="20"/>
        <v>2</v>
      </c>
      <c r="J185" s="116">
        <f t="shared" si="20"/>
        <v>8</v>
      </c>
      <c r="K185" s="116">
        <f t="shared" si="20"/>
        <v>0</v>
      </c>
      <c r="L185" s="116">
        <f t="shared" si="20"/>
        <v>52</v>
      </c>
      <c r="M185" s="116">
        <f t="shared" si="20"/>
        <v>28</v>
      </c>
      <c r="N185" s="116">
        <f t="shared" si="20"/>
        <v>0</v>
      </c>
      <c r="O185" s="117">
        <f t="shared" si="20"/>
        <v>6</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872" t="s">
        <v>395</v>
      </c>
      <c r="B189" s="1977"/>
      <c r="C189" s="290">
        <v>2014</v>
      </c>
      <c r="D189" s="133"/>
      <c r="E189" s="109"/>
      <c r="F189" s="109"/>
      <c r="G189" s="291">
        <f>SUM(D189:F189)</f>
        <v>0</v>
      </c>
      <c r="H189" s="108"/>
      <c r="I189" s="109"/>
      <c r="J189" s="109"/>
      <c r="K189" s="109"/>
      <c r="L189" s="134"/>
    </row>
    <row r="190" spans="1:15">
      <c r="A190" s="1978"/>
      <c r="B190" s="1855"/>
      <c r="C190" s="73">
        <v>2015</v>
      </c>
      <c r="D190" s="37">
        <v>539</v>
      </c>
      <c r="E190" s="38"/>
      <c r="F190" s="38"/>
      <c r="G190" s="291">
        <f t="shared" ref="G190:G195" si="21">SUM(D190:F190)</f>
        <v>539</v>
      </c>
      <c r="H190" s="112"/>
      <c r="I190" s="38"/>
      <c r="J190" s="38"/>
      <c r="K190" s="38"/>
      <c r="L190" s="88">
        <f>G190</f>
        <v>539</v>
      </c>
    </row>
    <row r="191" spans="1:15">
      <c r="A191" s="1978"/>
      <c r="B191" s="1855"/>
      <c r="C191" s="73">
        <v>2016</v>
      </c>
      <c r="D191" s="37">
        <f>5299+100+56</f>
        <v>5455</v>
      </c>
      <c r="E191" s="38">
        <v>56</v>
      </c>
      <c r="F191" s="38"/>
      <c r="G191" s="291">
        <f t="shared" si="21"/>
        <v>5511</v>
      </c>
      <c r="H191" s="112"/>
      <c r="I191" s="38"/>
      <c r="J191" s="38"/>
      <c r="K191" s="38"/>
      <c r="L191" s="88">
        <f>G191</f>
        <v>5511</v>
      </c>
    </row>
    <row r="192" spans="1:15">
      <c r="A192" s="1978"/>
      <c r="B192" s="1855"/>
      <c r="C192" s="73">
        <v>2017</v>
      </c>
      <c r="D192">
        <v>1199</v>
      </c>
      <c r="E192" s="38">
        <f>247+35+22+6+3</f>
        <v>313</v>
      </c>
      <c r="F192" s="38"/>
      <c r="G192" s="291">
        <f t="shared" si="21"/>
        <v>1512</v>
      </c>
      <c r="H192" s="112"/>
      <c r="I192" s="38">
        <f>64+19+6</f>
        <v>89</v>
      </c>
      <c r="J192" s="38"/>
      <c r="K192" s="38">
        <f>170+226+100+767+35+3</f>
        <v>1301</v>
      </c>
      <c r="L192" s="36">
        <f>119+3</f>
        <v>122</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7193</v>
      </c>
      <c r="E196" s="116">
        <f t="shared" si="22"/>
        <v>369</v>
      </c>
      <c r="F196" s="116">
        <f t="shared" si="22"/>
        <v>0</v>
      </c>
      <c r="G196" s="292">
        <f t="shared" si="22"/>
        <v>7562</v>
      </c>
      <c r="H196" s="115">
        <f t="shared" si="22"/>
        <v>0</v>
      </c>
      <c r="I196" s="116">
        <f t="shared" si="22"/>
        <v>89</v>
      </c>
      <c r="J196" s="116">
        <f t="shared" si="22"/>
        <v>0</v>
      </c>
      <c r="K196" s="116">
        <f t="shared" si="22"/>
        <v>1301</v>
      </c>
      <c r="L196" s="117">
        <f t="shared" si="22"/>
        <v>6172</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1511">
        <v>2015</v>
      </c>
      <c r="E212" s="1511">
        <v>2016</v>
      </c>
      <c r="F212" s="1511">
        <v>2017</v>
      </c>
      <c r="G212" s="1511">
        <v>2018</v>
      </c>
      <c r="H212" s="1511">
        <v>2019</v>
      </c>
      <c r="I212" s="1512">
        <v>2020</v>
      </c>
    </row>
    <row r="213" spans="1:12" ht="15" customHeight="1">
      <c r="A213" t="s">
        <v>163</v>
      </c>
      <c r="B213" s="2430" t="s">
        <v>396</v>
      </c>
      <c r="C213" s="72"/>
      <c r="D213" s="1513">
        <v>287632.87999999995</v>
      </c>
      <c r="E213" s="1514">
        <v>1271639.1299999999</v>
      </c>
      <c r="F213" s="1514">
        <v>703777.2</v>
      </c>
      <c r="G213" s="1187"/>
      <c r="H213" s="1187"/>
      <c r="I213" s="1187"/>
    </row>
    <row r="214" spans="1:12">
      <c r="A214" t="s">
        <v>164</v>
      </c>
      <c r="B214" s="1974"/>
      <c r="C214" s="72"/>
      <c r="D214" s="1515">
        <v>242061.65999999997</v>
      </c>
      <c r="E214" s="1516">
        <v>1135530.4099999999</v>
      </c>
      <c r="F214" s="1517">
        <v>599678.17000000004</v>
      </c>
      <c r="G214" s="1187"/>
      <c r="H214" s="1187"/>
      <c r="I214" s="1187"/>
    </row>
    <row r="215" spans="1:12">
      <c r="A215" t="s">
        <v>165</v>
      </c>
      <c r="B215" s="1974"/>
      <c r="C215" s="72"/>
      <c r="D215" s="1518">
        <v>0</v>
      </c>
      <c r="E215" s="1517">
        <v>615</v>
      </c>
      <c r="F215" s="1517">
        <v>4229.97</v>
      </c>
      <c r="G215" s="1187"/>
      <c r="H215" s="1187"/>
      <c r="I215" s="1187"/>
    </row>
    <row r="216" spans="1:12">
      <c r="A216" t="s">
        <v>166</v>
      </c>
      <c r="B216" s="1974"/>
      <c r="C216" s="72"/>
      <c r="D216" s="1518">
        <v>18300</v>
      </c>
      <c r="E216" s="1517">
        <v>99465.06</v>
      </c>
      <c r="F216" s="1517">
        <v>74714.06</v>
      </c>
      <c r="G216" s="1187"/>
      <c r="H216" s="1187"/>
      <c r="I216" s="1187"/>
    </row>
    <row r="217" spans="1:12">
      <c r="A217" t="s">
        <v>167</v>
      </c>
      <c r="B217" s="1974"/>
      <c r="C217" s="72"/>
      <c r="D217" s="1518">
        <v>27271.22</v>
      </c>
      <c r="E217" s="1517">
        <v>36028.660000000003</v>
      </c>
      <c r="F217" s="1517">
        <v>25155</v>
      </c>
      <c r="G217" s="1187"/>
      <c r="H217" s="1187"/>
      <c r="I217" s="1187"/>
    </row>
    <row r="218" spans="1:12" ht="30">
      <c r="A218" s="56" t="s">
        <v>168</v>
      </c>
      <c r="B218" s="1974"/>
      <c r="C218" s="72"/>
      <c r="D218" s="1518">
        <v>103546.45999999999</v>
      </c>
      <c r="E218" s="1519">
        <f>178764.01+8055.12</f>
        <v>186819.13</v>
      </c>
      <c r="F218" s="1519">
        <f>177452.39+5733.61+9557.3+1208.4+2026</f>
        <v>195977.69999999998</v>
      </c>
      <c r="G218" s="1187"/>
      <c r="H218" s="1187"/>
      <c r="I218" s="1187"/>
    </row>
    <row r="219" spans="1:12" ht="167.25" customHeight="1" thickBot="1">
      <c r="A219" s="331"/>
      <c r="B219" s="1975"/>
      <c r="C219" s="945" t="s">
        <v>13</v>
      </c>
      <c r="D219" s="1520">
        <f>SUM(D214:D218)</f>
        <v>391179.33999999997</v>
      </c>
      <c r="E219" s="1521">
        <f>SUM(E214:E218)</f>
        <v>1458458.2599999998</v>
      </c>
      <c r="F219" s="1522">
        <f>SUM(F214:F218)</f>
        <v>899754.89999999991</v>
      </c>
      <c r="G219" s="1523">
        <f t="shared" ref="G219:I219" si="24">SUM(G214:G218)</f>
        <v>0</v>
      </c>
      <c r="H219" s="1523">
        <f t="shared" si="24"/>
        <v>0</v>
      </c>
      <c r="I219" s="1523">
        <f t="shared" si="24"/>
        <v>0</v>
      </c>
    </row>
    <row r="222" spans="1:12">
      <c r="A222" s="2431" t="s">
        <v>397</v>
      </c>
      <c r="B222" s="2432"/>
      <c r="C222" s="2432"/>
      <c r="D222" s="2432"/>
      <c r="E222" s="2432"/>
      <c r="F222" s="2432"/>
      <c r="G222" s="2432"/>
      <c r="H222" s="2432"/>
      <c r="I222" s="2432"/>
    </row>
    <row r="223" spans="1:12">
      <c r="A223" s="2432"/>
      <c r="B223" s="2432"/>
      <c r="C223" s="2432"/>
      <c r="D223" s="2432"/>
      <c r="E223" s="2432"/>
      <c r="F223" s="2432"/>
      <c r="G223" s="2432"/>
      <c r="H223" s="2432"/>
      <c r="I223" s="2432"/>
    </row>
    <row r="224" spans="1:12">
      <c r="A224" s="2432"/>
      <c r="B224" s="2432"/>
      <c r="C224" s="2432"/>
      <c r="D224" s="2432"/>
      <c r="E224" s="2432"/>
      <c r="F224" s="2432"/>
      <c r="G224" s="2432"/>
      <c r="H224" s="2432"/>
      <c r="I224" s="2432"/>
    </row>
    <row r="225" spans="1:9">
      <c r="A225" s="2432"/>
      <c r="B225" s="2432"/>
      <c r="C225" s="2432"/>
      <c r="D225" s="2432"/>
      <c r="E225" s="2432"/>
      <c r="F225" s="2432"/>
      <c r="G225" s="2432"/>
      <c r="H225" s="2432"/>
      <c r="I225" s="2432"/>
    </row>
    <row r="226" spans="1:9" ht="48.75" customHeight="1">
      <c r="A226" s="2432"/>
      <c r="B226" s="2432"/>
      <c r="C226" s="2432"/>
      <c r="D226" s="2432"/>
      <c r="E226" s="2432"/>
      <c r="F226" s="2432"/>
      <c r="G226" s="2432"/>
      <c r="H226" s="2432"/>
      <c r="I226" s="2432"/>
    </row>
    <row r="227" spans="1:9" ht="1.5" customHeight="1">
      <c r="A227" s="2432"/>
      <c r="B227" s="2432"/>
      <c r="C227" s="2432"/>
      <c r="D227" s="2432"/>
      <c r="E227" s="2432"/>
      <c r="F227" s="2432"/>
      <c r="G227" s="2432"/>
      <c r="H227" s="2432"/>
      <c r="I227" s="2432"/>
    </row>
    <row r="228" spans="1:9" ht="15" hidden="1" customHeight="1">
      <c r="A228" s="2432"/>
      <c r="B228" s="2432"/>
      <c r="C228" s="2432"/>
      <c r="D228" s="2432"/>
      <c r="E228" s="2432"/>
      <c r="F228" s="2432"/>
      <c r="G228" s="2432"/>
      <c r="H228" s="2432"/>
      <c r="I228" s="2432"/>
    </row>
    <row r="229" spans="1:9" ht="15" hidden="1" customHeight="1">
      <c r="A229" s="2432"/>
      <c r="B229" s="2432"/>
      <c r="C229" s="2432"/>
      <c r="D229" s="2432"/>
      <c r="E229" s="2432"/>
      <c r="F229" s="2432"/>
      <c r="G229" s="2432"/>
      <c r="H229" s="2432"/>
      <c r="I229" s="2432"/>
    </row>
    <row r="230" spans="1:9" ht="15" hidden="1" customHeight="1">
      <c r="A230" s="2432"/>
      <c r="B230" s="2432"/>
      <c r="C230" s="2432"/>
      <c r="D230" s="2432"/>
      <c r="E230" s="2432"/>
      <c r="F230" s="2432"/>
      <c r="G230" s="2432"/>
      <c r="H230" s="2432"/>
      <c r="I230" s="2432"/>
    </row>
    <row r="231" spans="1:9" ht="15" hidden="1" customHeight="1">
      <c r="A231" s="2432"/>
      <c r="B231" s="2432"/>
      <c r="C231" s="2432"/>
      <c r="D231" s="2432"/>
      <c r="E231" s="2432"/>
      <c r="F231" s="2432"/>
      <c r="G231" s="2432"/>
      <c r="H231" s="2432"/>
      <c r="I231" s="2432"/>
    </row>
  </sheetData>
  <mergeCells count="57">
    <mergeCell ref="D60:D61"/>
    <mergeCell ref="B1:M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29:A130"/>
    <mergeCell ref="B129:B130"/>
    <mergeCell ref="A131:B138"/>
    <mergeCell ref="A142:A143"/>
    <mergeCell ref="B142:B143"/>
    <mergeCell ref="A178:B185"/>
    <mergeCell ref="J142:N142"/>
    <mergeCell ref="A144:B151"/>
    <mergeCell ref="A153:A154"/>
    <mergeCell ref="B153:B154"/>
    <mergeCell ref="C153:C154"/>
    <mergeCell ref="A155:B162"/>
    <mergeCell ref="C142:C143"/>
    <mergeCell ref="A165:B172"/>
    <mergeCell ref="A176:A177"/>
    <mergeCell ref="B176:B177"/>
    <mergeCell ref="C176:C177"/>
    <mergeCell ref="I176:O176"/>
    <mergeCell ref="A202:B209"/>
    <mergeCell ref="B213:B219"/>
    <mergeCell ref="A222:I231"/>
    <mergeCell ref="A187:A188"/>
    <mergeCell ref="B187:B188"/>
    <mergeCell ref="C187:C188"/>
    <mergeCell ref="D187:G187"/>
    <mergeCell ref="H187:L187"/>
    <mergeCell ref="A189:B196"/>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10" zoomScale="80" zoomScaleNormal="80" workbookViewId="0">
      <selection activeCell="I18" sqref="I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398</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399</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15</v>
      </c>
      <c r="E18" s="38">
        <v>1</v>
      </c>
      <c r="F18" s="38"/>
      <c r="G18" s="32">
        <f>SUM(D18:F18)</f>
        <v>16</v>
      </c>
      <c r="H18" s="39"/>
      <c r="I18" s="38">
        <v>1</v>
      </c>
      <c r="J18" s="38"/>
      <c r="K18" s="38">
        <v>6</v>
      </c>
      <c r="L18" s="38">
        <v>9</v>
      </c>
      <c r="M18" s="38"/>
      <c r="N18" s="38"/>
      <c r="O18" s="40"/>
      <c r="P18" s="35"/>
      <c r="Q18" s="35"/>
      <c r="R18" s="35"/>
      <c r="S18" s="35"/>
      <c r="T18" s="35"/>
      <c r="U18" s="35"/>
      <c r="V18" s="35"/>
      <c r="W18" s="35"/>
      <c r="X18" s="35"/>
      <c r="Y18" s="35"/>
    </row>
    <row r="19" spans="1:25">
      <c r="A19" s="1854"/>
      <c r="B19" s="1855"/>
      <c r="C19" s="36">
        <v>2016</v>
      </c>
      <c r="D19" s="37">
        <v>76</v>
      </c>
      <c r="E19" s="38">
        <v>3</v>
      </c>
      <c r="F19" s="38">
        <v>1</v>
      </c>
      <c r="G19" s="32">
        <f t="shared" si="0"/>
        <v>80</v>
      </c>
      <c r="H19" s="39"/>
      <c r="I19" s="38">
        <v>18</v>
      </c>
      <c r="J19" s="38">
        <v>2</v>
      </c>
      <c r="K19" s="38">
        <v>53</v>
      </c>
      <c r="L19" s="38">
        <v>6</v>
      </c>
      <c r="M19" s="38"/>
      <c r="N19" s="38"/>
      <c r="O19" s="40">
        <v>1</v>
      </c>
      <c r="P19" s="35"/>
      <c r="Q19" s="35"/>
      <c r="R19" s="35"/>
      <c r="S19" s="35"/>
      <c r="T19" s="35"/>
      <c r="U19" s="35"/>
      <c r="V19" s="35"/>
      <c r="W19" s="35"/>
      <c r="X19" s="35"/>
      <c r="Y19" s="35"/>
    </row>
    <row r="20" spans="1:25">
      <c r="A20" s="1854"/>
      <c r="B20" s="1855"/>
      <c r="C20" s="36">
        <v>2017</v>
      </c>
      <c r="D20" s="37">
        <v>41</v>
      </c>
      <c r="E20" s="38">
        <v>3</v>
      </c>
      <c r="F20" s="38">
        <v>3</v>
      </c>
      <c r="G20" s="32">
        <f t="shared" si="0"/>
        <v>47</v>
      </c>
      <c r="H20" s="39"/>
      <c r="I20" s="38">
        <v>8</v>
      </c>
      <c r="J20" s="38">
        <v>4</v>
      </c>
      <c r="K20" s="38">
        <v>22</v>
      </c>
      <c r="L20" s="38">
        <v>1</v>
      </c>
      <c r="M20" s="38">
        <v>1</v>
      </c>
      <c r="N20" s="38"/>
      <c r="O20" s="40">
        <v>11</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132</v>
      </c>
      <c r="E24" s="44">
        <f>SUM(E17:E23)</f>
        <v>7</v>
      </c>
      <c r="F24" s="44">
        <f>SUM(F17:F23)</f>
        <v>4</v>
      </c>
      <c r="G24" s="45">
        <f>SUM(D24:F24)</f>
        <v>143</v>
      </c>
      <c r="H24" s="46">
        <f>SUM(H17:H23)</f>
        <v>0</v>
      </c>
      <c r="I24" s="47">
        <f>SUM(I17:I23)</f>
        <v>27</v>
      </c>
      <c r="J24" s="47">
        <f t="shared" ref="J24:N24" si="1">SUM(J17:J23)</f>
        <v>6</v>
      </c>
      <c r="K24" s="47">
        <f t="shared" si="1"/>
        <v>81</v>
      </c>
      <c r="L24" s="47">
        <f t="shared" si="1"/>
        <v>16</v>
      </c>
      <c r="M24" s="47">
        <f t="shared" si="1"/>
        <v>1</v>
      </c>
      <c r="N24" s="47">
        <f t="shared" si="1"/>
        <v>0</v>
      </c>
      <c r="O24" s="48">
        <f>SUM(O17:O23)</f>
        <v>12</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400</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766</v>
      </c>
      <c r="E29" s="38">
        <v>5</v>
      </c>
      <c r="F29" s="38"/>
      <c r="G29" s="58">
        <f t="shared" ref="G29:G35" si="2">SUM(D29:F29)</f>
        <v>771</v>
      </c>
      <c r="H29" s="35"/>
      <c r="I29" s="35"/>
      <c r="J29" s="35"/>
      <c r="K29" s="35"/>
      <c r="L29" s="35"/>
      <c r="M29" s="35"/>
      <c r="N29" s="35"/>
      <c r="O29" s="35"/>
      <c r="P29" s="35"/>
      <c r="Q29" s="7"/>
    </row>
    <row r="30" spans="1:25">
      <c r="A30" s="1854"/>
      <c r="B30" s="1855"/>
      <c r="C30" s="59">
        <v>2016</v>
      </c>
      <c r="D30" s="39">
        <v>104378</v>
      </c>
      <c r="E30" s="38">
        <v>32000</v>
      </c>
      <c r="F30" s="38">
        <v>411731</v>
      </c>
      <c r="G30" s="58">
        <f t="shared" si="2"/>
        <v>548109</v>
      </c>
      <c r="H30" s="35"/>
      <c r="I30" s="35"/>
      <c r="J30" s="35"/>
      <c r="K30" s="35"/>
      <c r="L30" s="35"/>
      <c r="M30" s="35"/>
      <c r="N30" s="35"/>
      <c r="O30" s="35"/>
      <c r="P30" s="35"/>
      <c r="Q30" s="7"/>
    </row>
    <row r="31" spans="1:25">
      <c r="A31" s="1854"/>
      <c r="B31" s="1855"/>
      <c r="C31" s="59">
        <v>2017</v>
      </c>
      <c r="D31" s="39">
        <v>111754</v>
      </c>
      <c r="E31" s="38">
        <v>20182</v>
      </c>
      <c r="F31" s="38">
        <v>710026</v>
      </c>
      <c r="G31" s="58">
        <f t="shared" si="2"/>
        <v>841962</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216898</v>
      </c>
      <c r="E35" s="44">
        <f>SUM(E28:E34)</f>
        <v>52187</v>
      </c>
      <c r="F35" s="44">
        <f>SUM(F28:F34)</f>
        <v>1121757</v>
      </c>
      <c r="G35" s="48">
        <f t="shared" si="2"/>
        <v>1390842</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8913</v>
      </c>
      <c r="E41" s="36">
        <v>2936</v>
      </c>
      <c r="F41" s="7"/>
      <c r="G41" s="35"/>
      <c r="H41" s="35"/>
    </row>
    <row r="42" spans="1:17">
      <c r="A42" s="1854"/>
      <c r="B42" s="1855"/>
      <c r="C42" s="73">
        <v>2016</v>
      </c>
      <c r="D42" s="37">
        <v>70083</v>
      </c>
      <c r="E42" s="36">
        <v>29606</v>
      </c>
      <c r="F42" s="7"/>
      <c r="G42" s="35"/>
      <c r="H42" s="35"/>
    </row>
    <row r="43" spans="1:17">
      <c r="A43" s="1854"/>
      <c r="B43" s="1855"/>
      <c r="C43" s="73">
        <v>2017</v>
      </c>
      <c r="D43" s="37">
        <v>61101</v>
      </c>
      <c r="E43" s="36">
        <v>28185</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140097</v>
      </c>
      <c r="E47" s="455">
        <f>SUM(E40:E46)</f>
        <v>60727</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401</v>
      </c>
      <c r="B62" s="1899"/>
      <c r="C62" s="106">
        <v>2014</v>
      </c>
      <c r="D62" s="107"/>
      <c r="E62" s="108"/>
      <c r="F62" s="109"/>
      <c r="G62" s="109"/>
      <c r="H62" s="109"/>
      <c r="I62" s="109"/>
      <c r="J62" s="109"/>
      <c r="K62" s="109"/>
      <c r="L62" s="34"/>
      <c r="M62" s="7"/>
      <c r="N62" s="7"/>
      <c r="O62" s="7"/>
    </row>
    <row r="63" spans="1:15">
      <c r="A63" s="1891"/>
      <c r="B63" s="1899"/>
      <c r="C63" s="110">
        <v>2015</v>
      </c>
      <c r="D63" s="111">
        <v>3</v>
      </c>
      <c r="E63" s="112"/>
      <c r="F63" s="38"/>
      <c r="G63" s="38"/>
      <c r="H63" s="38"/>
      <c r="I63" s="38"/>
      <c r="J63" s="38"/>
      <c r="K63" s="38"/>
      <c r="L63" s="88">
        <v>3</v>
      </c>
      <c r="M63" s="7"/>
      <c r="N63" s="7"/>
      <c r="O63" s="7"/>
    </row>
    <row r="64" spans="1:15">
      <c r="A64" s="1891"/>
      <c r="B64" s="1899"/>
      <c r="C64" s="110">
        <v>2016</v>
      </c>
      <c r="D64" s="111">
        <v>8</v>
      </c>
      <c r="E64" s="112"/>
      <c r="F64" s="38">
        <v>2</v>
      </c>
      <c r="G64" s="38"/>
      <c r="H64" s="38">
        <v>3</v>
      </c>
      <c r="I64" s="38"/>
      <c r="J64" s="38"/>
      <c r="K64" s="38"/>
      <c r="L64" s="88">
        <v>3</v>
      </c>
      <c r="M64" s="7"/>
      <c r="N64" s="7"/>
      <c r="O64" s="7"/>
    </row>
    <row r="65" spans="1:20">
      <c r="A65" s="1891"/>
      <c r="B65" s="1899"/>
      <c r="C65" s="110">
        <v>2017</v>
      </c>
      <c r="D65" s="111">
        <v>4</v>
      </c>
      <c r="E65" s="112"/>
      <c r="F65" s="38">
        <v>2</v>
      </c>
      <c r="G65" s="38">
        <v>1</v>
      </c>
      <c r="H65" s="38">
        <v>1</v>
      </c>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15</v>
      </c>
      <c r="E69" s="115">
        <f>SUM(E62:E68)</f>
        <v>0</v>
      </c>
      <c r="F69" s="116">
        <f t="shared" ref="F69:I69" si="4">SUM(F62:F68)</f>
        <v>4</v>
      </c>
      <c r="G69" s="116">
        <f t="shared" si="4"/>
        <v>1</v>
      </c>
      <c r="H69" s="116">
        <f t="shared" si="4"/>
        <v>4</v>
      </c>
      <c r="I69" s="116">
        <f t="shared" si="4"/>
        <v>0</v>
      </c>
      <c r="J69" s="116"/>
      <c r="K69" s="116">
        <f>SUM(K62:K68)</f>
        <v>0</v>
      </c>
      <c r="L69" s="117">
        <f>SUM(L62:L68)</f>
        <v>6</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402</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2</v>
      </c>
      <c r="F99" s="177"/>
      <c r="G99" s="178"/>
      <c r="H99" s="178"/>
      <c r="I99" s="178"/>
      <c r="J99" s="178"/>
      <c r="K99" s="178"/>
      <c r="L99" s="178"/>
      <c r="M99" s="179">
        <v>1</v>
      </c>
      <c r="N99" s="165"/>
      <c r="O99" s="165"/>
      <c r="P99" s="165"/>
    </row>
    <row r="100" spans="1:16" ht="16.5" customHeight="1">
      <c r="A100" s="1891"/>
      <c r="B100" s="1899"/>
      <c r="C100" s="110">
        <v>2016</v>
      </c>
      <c r="D100" s="37">
        <v>1</v>
      </c>
      <c r="E100" s="38">
        <v>7</v>
      </c>
      <c r="F100" s="177"/>
      <c r="G100" s="178"/>
      <c r="H100" s="178"/>
      <c r="I100" s="178"/>
      <c r="J100" s="178"/>
      <c r="K100" s="178"/>
      <c r="L100" s="178"/>
      <c r="M100" s="179">
        <v>1</v>
      </c>
      <c r="N100" s="165"/>
      <c r="O100" s="165"/>
      <c r="P100" s="165"/>
    </row>
    <row r="101" spans="1:16" ht="16.5" customHeight="1">
      <c r="A101" s="1891"/>
      <c r="B101" s="1899"/>
      <c r="C101" s="110">
        <v>2017</v>
      </c>
      <c r="D101" s="37">
        <v>1</v>
      </c>
      <c r="E101" s="38">
        <v>6</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15</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v>15</v>
      </c>
      <c r="E131" s="31"/>
      <c r="F131" s="31"/>
      <c r="G131" s="195">
        <f t="shared" ref="G131:G136" si="11">SUM(D131:F131)</f>
        <v>15</v>
      </c>
      <c r="H131" s="185"/>
      <c r="I131" s="185"/>
      <c r="J131" s="185"/>
      <c r="K131" s="185"/>
      <c r="L131" s="185"/>
      <c r="M131" s="185"/>
      <c r="N131" s="185"/>
    </row>
    <row r="132" spans="1:16">
      <c r="A132" s="1854"/>
      <c r="B132" s="1855"/>
      <c r="C132" s="110">
        <v>2016</v>
      </c>
      <c r="D132" s="37">
        <v>74</v>
      </c>
      <c r="E132" s="38"/>
      <c r="F132" s="38"/>
      <c r="G132" s="195">
        <f t="shared" si="11"/>
        <v>74</v>
      </c>
      <c r="H132" s="185"/>
      <c r="I132" s="185"/>
      <c r="J132" s="185"/>
      <c r="K132" s="185"/>
      <c r="L132" s="185"/>
      <c r="M132" s="185"/>
      <c r="N132" s="185"/>
    </row>
    <row r="133" spans="1:16">
      <c r="A133" s="1854"/>
      <c r="B133" s="1855"/>
      <c r="C133" s="110">
        <v>2017</v>
      </c>
      <c r="D133" s="37">
        <v>55</v>
      </c>
      <c r="E133" s="38"/>
      <c r="F133" s="38"/>
      <c r="G133" s="195">
        <f t="shared" si="11"/>
        <v>55</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144</v>
      </c>
      <c r="E137" s="139">
        <f t="shared" ref="E137:F137" si="12">SUM(E131:E136)</f>
        <v>0</v>
      </c>
      <c r="F137" s="139">
        <f t="shared" si="12"/>
        <v>0</v>
      </c>
      <c r="G137" s="196">
        <f>SUM(G131:G136)</f>
        <v>144</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10</v>
      </c>
      <c r="E179" s="38"/>
      <c r="F179" s="38"/>
      <c r="G179" s="284">
        <f t="shared" ref="G179:G184" si="19">SUM(D179:F179)</f>
        <v>10</v>
      </c>
      <c r="H179" s="411">
        <v>10</v>
      </c>
      <c r="I179" s="112"/>
      <c r="J179" s="38"/>
      <c r="K179" s="38"/>
      <c r="L179" s="38">
        <v>8</v>
      </c>
      <c r="M179" s="38">
        <v>2</v>
      </c>
      <c r="N179" s="38"/>
      <c r="O179" s="88"/>
    </row>
    <row r="180" spans="1:15">
      <c r="A180" s="1891"/>
      <c r="B180" s="1899"/>
      <c r="C180" s="110">
        <v>2016</v>
      </c>
      <c r="D180" s="37">
        <v>35</v>
      </c>
      <c r="E180" s="38">
        <v>1</v>
      </c>
      <c r="F180" s="38"/>
      <c r="G180" s="284">
        <f t="shared" si="19"/>
        <v>36</v>
      </c>
      <c r="H180" s="411">
        <v>38</v>
      </c>
      <c r="I180" s="112"/>
      <c r="J180" s="38">
        <v>6</v>
      </c>
      <c r="K180" s="38"/>
      <c r="L180" s="38">
        <v>25</v>
      </c>
      <c r="M180" s="38">
        <v>5</v>
      </c>
      <c r="N180" s="38"/>
      <c r="O180" s="88"/>
    </row>
    <row r="181" spans="1:15">
      <c r="A181" s="1891"/>
      <c r="B181" s="1899"/>
      <c r="C181" s="110">
        <v>2017</v>
      </c>
      <c r="D181" s="37">
        <v>22</v>
      </c>
      <c r="E181" s="38">
        <v>4</v>
      </c>
      <c r="F181" s="38"/>
      <c r="G181" s="284">
        <f t="shared" si="19"/>
        <v>26</v>
      </c>
      <c r="H181" s="411">
        <v>33</v>
      </c>
      <c r="I181" s="112"/>
      <c r="J181" s="38"/>
      <c r="K181" s="38">
        <v>2</v>
      </c>
      <c r="L181" s="37">
        <v>11</v>
      </c>
      <c r="M181" s="38">
        <v>3</v>
      </c>
      <c r="N181" s="38"/>
      <c r="O181" s="88">
        <v>10</v>
      </c>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67</v>
      </c>
      <c r="E185" s="116">
        <f>SUM(E178:E184)</f>
        <v>5</v>
      </c>
      <c r="F185" s="116">
        <f>SUM(F178:F184)</f>
        <v>0</v>
      </c>
      <c r="G185" s="220">
        <f t="shared" ref="G185:O185" si="20">SUM(G178:G184)</f>
        <v>72</v>
      </c>
      <c r="H185" s="285">
        <f t="shared" si="20"/>
        <v>81</v>
      </c>
      <c r="I185" s="115">
        <f t="shared" si="20"/>
        <v>0</v>
      </c>
      <c r="J185" s="116">
        <f t="shared" si="20"/>
        <v>6</v>
      </c>
      <c r="K185" s="116">
        <f t="shared" si="20"/>
        <v>2</v>
      </c>
      <c r="L185" s="116">
        <f t="shared" si="20"/>
        <v>44</v>
      </c>
      <c r="M185" s="116">
        <f t="shared" si="20"/>
        <v>10</v>
      </c>
      <c r="N185" s="116">
        <f t="shared" si="20"/>
        <v>0</v>
      </c>
      <c r="O185" s="117">
        <f t="shared" si="20"/>
        <v>10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c r="B189" s="1977"/>
      <c r="C189" s="290">
        <v>2014</v>
      </c>
      <c r="D189" s="133"/>
      <c r="E189" s="109"/>
      <c r="F189" s="109"/>
      <c r="G189" s="291">
        <f>SUM(D189:F189)</f>
        <v>0</v>
      </c>
      <c r="H189" s="108"/>
      <c r="I189" s="109"/>
      <c r="J189" s="109"/>
      <c r="K189" s="109"/>
      <c r="L189" s="134"/>
    </row>
    <row r="190" spans="1:15">
      <c r="A190" s="1978"/>
      <c r="B190" s="1855"/>
      <c r="C190" s="73">
        <v>2015</v>
      </c>
      <c r="D190" s="37">
        <v>523</v>
      </c>
      <c r="E190" s="38"/>
      <c r="F190" s="38"/>
      <c r="G190" s="291">
        <f t="shared" ref="G190:G195" si="21">SUM(D190:F190)</f>
        <v>523</v>
      </c>
      <c r="H190" s="112"/>
      <c r="I190" s="38">
        <v>51</v>
      </c>
      <c r="J190" s="38"/>
      <c r="K190" s="38"/>
      <c r="L190" s="88">
        <v>472</v>
      </c>
    </row>
    <row r="191" spans="1:15">
      <c r="A191" s="1978"/>
      <c r="B191" s="1855"/>
      <c r="C191" s="73">
        <v>2016</v>
      </c>
      <c r="D191" s="37">
        <v>1440</v>
      </c>
      <c r="E191" s="38">
        <v>20</v>
      </c>
      <c r="F191" s="38"/>
      <c r="G191" s="291">
        <f t="shared" si="21"/>
        <v>1460</v>
      </c>
      <c r="H191" s="112"/>
      <c r="I191" s="38">
        <v>155</v>
      </c>
      <c r="J191" s="38"/>
      <c r="K191" s="38">
        <v>829</v>
      </c>
      <c r="L191" s="88">
        <v>476</v>
      </c>
    </row>
    <row r="192" spans="1:15">
      <c r="A192" s="1978"/>
      <c r="B192" s="1855"/>
      <c r="C192" s="73">
        <v>2017</v>
      </c>
      <c r="D192" s="37">
        <v>541</v>
      </c>
      <c r="E192" s="38">
        <v>86</v>
      </c>
      <c r="F192" s="38"/>
      <c r="G192" s="291">
        <f t="shared" si="21"/>
        <v>627</v>
      </c>
      <c r="H192" s="112"/>
      <c r="I192" s="38">
        <v>134</v>
      </c>
      <c r="J192" s="38"/>
      <c r="K192" s="38">
        <v>45</v>
      </c>
      <c r="L192" s="88">
        <v>448</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2504</v>
      </c>
      <c r="E196" s="116">
        <f t="shared" si="22"/>
        <v>106</v>
      </c>
      <c r="F196" s="116">
        <f t="shared" si="22"/>
        <v>0</v>
      </c>
      <c r="G196" s="292">
        <f t="shared" si="22"/>
        <v>2610</v>
      </c>
      <c r="H196" s="115">
        <f t="shared" si="22"/>
        <v>0</v>
      </c>
      <c r="I196" s="116">
        <f t="shared" si="22"/>
        <v>340</v>
      </c>
      <c r="J196" s="116">
        <f t="shared" si="22"/>
        <v>0</v>
      </c>
      <c r="K196" s="116">
        <f t="shared" si="22"/>
        <v>874</v>
      </c>
      <c r="L196" s="117">
        <f t="shared" si="22"/>
        <v>1396</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v>1</v>
      </c>
      <c r="E204" s="38">
        <v>45</v>
      </c>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1</v>
      </c>
      <c r="E209" s="139">
        <f t="shared" ref="E209:L209" si="23">SUM(E202:E208)</f>
        <v>45</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403</v>
      </c>
      <c r="C213" s="72"/>
      <c r="D213" s="135">
        <v>67223.72</v>
      </c>
      <c r="E213" s="135">
        <v>801112.14</v>
      </c>
      <c r="F213" s="135">
        <v>588674.46</v>
      </c>
      <c r="G213" s="135"/>
      <c r="H213" s="135"/>
      <c r="I213" s="326"/>
    </row>
    <row r="214" spans="1:12">
      <c r="A214" t="s">
        <v>164</v>
      </c>
      <c r="B214" s="1974"/>
      <c r="C214" s="72"/>
      <c r="D214" s="135">
        <v>63763.72</v>
      </c>
      <c r="E214" s="135">
        <v>686497.78</v>
      </c>
      <c r="F214" s="135">
        <v>542019.78</v>
      </c>
      <c r="G214" s="135"/>
      <c r="H214" s="135"/>
      <c r="I214" s="326"/>
    </row>
    <row r="215" spans="1:12">
      <c r="A215" t="s">
        <v>165</v>
      </c>
      <c r="B215" s="1974"/>
      <c r="C215" s="72"/>
      <c r="D215" s="135"/>
      <c r="E215" s="135"/>
      <c r="F215" s="135"/>
      <c r="G215" s="135"/>
      <c r="H215" s="135"/>
      <c r="I215" s="326"/>
    </row>
    <row r="216" spans="1:12">
      <c r="A216" t="s">
        <v>166</v>
      </c>
      <c r="B216" s="1974"/>
      <c r="C216" s="72"/>
      <c r="D216" s="135">
        <v>3460</v>
      </c>
      <c r="E216" s="135">
        <v>114614.36</v>
      </c>
      <c r="F216" s="1524">
        <v>40565.39</v>
      </c>
      <c r="G216" s="135"/>
      <c r="H216" s="135"/>
      <c r="I216" s="326"/>
    </row>
    <row r="217" spans="1:12">
      <c r="A217" t="s">
        <v>167</v>
      </c>
      <c r="B217" s="1974"/>
      <c r="C217" s="72"/>
      <c r="D217" s="135"/>
      <c r="E217" s="1525">
        <v>0</v>
      </c>
      <c r="F217" s="135">
        <v>6089.29</v>
      </c>
      <c r="G217" s="135"/>
      <c r="H217" s="135"/>
      <c r="I217" s="326"/>
    </row>
    <row r="218" spans="1:12" ht="27" customHeight="1">
      <c r="A218" s="56" t="s">
        <v>168</v>
      </c>
      <c r="B218" s="1974"/>
      <c r="C218" s="72"/>
      <c r="D218" s="1526">
        <v>157339.37</v>
      </c>
      <c r="E218" s="135">
        <v>209766.89</v>
      </c>
      <c r="F218" s="135">
        <v>215674.28</v>
      </c>
      <c r="G218" s="135"/>
      <c r="H218" s="135"/>
      <c r="I218" s="326"/>
    </row>
    <row r="219" spans="1:12" ht="36.75" customHeight="1" thickBot="1">
      <c r="A219" s="331"/>
      <c r="B219" s="1975"/>
      <c r="C219" s="42" t="s">
        <v>13</v>
      </c>
      <c r="D219" s="333">
        <f>SUM(D214:D218)</f>
        <v>224563.09</v>
      </c>
      <c r="E219" s="333">
        <f>SUM(E214:E218)</f>
        <v>1010879.03</v>
      </c>
      <c r="F219" s="333">
        <f t="shared" ref="F219:I219" si="24">SUM(F214:F218)</f>
        <v>804348.74000000011</v>
      </c>
      <c r="G219" s="333">
        <f t="shared" si="24"/>
        <v>0</v>
      </c>
      <c r="H219" s="333">
        <f t="shared" si="24"/>
        <v>0</v>
      </c>
      <c r="I219" s="333">
        <f t="shared" si="24"/>
        <v>0</v>
      </c>
    </row>
    <row r="221" spans="1:12">
      <c r="B221" s="466"/>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C10"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186</v>
      </c>
      <c r="C1" s="1944"/>
      <c r="D1" s="1944"/>
      <c r="E1" s="1944"/>
      <c r="F1" s="1944"/>
    </row>
    <row r="2" spans="1:25" s="1" customFormat="1" ht="20.100000000000001" customHeight="1" thickBot="1"/>
    <row r="3" spans="1:25" s="4" customFormat="1" ht="20.100000000000001" customHeight="1">
      <c r="A3" s="2" t="s">
        <v>2</v>
      </c>
      <c r="B3" s="3"/>
      <c r="C3" s="3"/>
      <c r="D3" s="3"/>
      <c r="E3" s="3"/>
      <c r="F3" s="1945"/>
      <c r="G3" s="1945"/>
      <c r="H3" s="1945"/>
      <c r="I3" s="1945"/>
      <c r="J3" s="1945"/>
      <c r="K3" s="1945"/>
      <c r="L3" s="1945"/>
      <c r="M3" s="1945"/>
      <c r="N3" s="1945"/>
      <c r="O3" s="1946"/>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8"/>
      <c r="B15" s="9"/>
      <c r="C15" s="10"/>
      <c r="D15" s="1953" t="s">
        <v>5</v>
      </c>
      <c r="E15" s="1954"/>
      <c r="F15" s="1954"/>
      <c r="G15" s="1954"/>
      <c r="H15" s="11"/>
      <c r="I15" s="12" t="s">
        <v>6</v>
      </c>
      <c r="J15" s="13"/>
      <c r="K15" s="13"/>
      <c r="L15" s="13"/>
      <c r="M15" s="13"/>
      <c r="N15" s="13"/>
      <c r="O15" s="14"/>
      <c r="P15" s="15"/>
      <c r="Q15" s="16"/>
      <c r="R15" s="17"/>
      <c r="S15" s="17"/>
      <c r="T15" s="17"/>
      <c r="U15" s="17"/>
      <c r="V15" s="17"/>
      <c r="W15" s="15"/>
      <c r="X15" s="15"/>
      <c r="Y15" s="16"/>
    </row>
    <row r="16" spans="1:25" s="56" customFormat="1" ht="156.6"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187</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127</v>
      </c>
      <c r="E18" s="38"/>
      <c r="F18" s="38"/>
      <c r="G18" s="32">
        <f>SUM(D18:F18)</f>
        <v>127</v>
      </c>
      <c r="H18" s="39"/>
      <c r="I18" s="38"/>
      <c r="J18" s="38"/>
      <c r="K18" s="38"/>
      <c r="L18" s="38"/>
      <c r="M18" s="38"/>
      <c r="N18" s="38"/>
      <c r="O18" s="40">
        <v>127</v>
      </c>
      <c r="P18" s="35"/>
      <c r="Q18" s="35"/>
      <c r="R18" s="35"/>
      <c r="S18" s="35"/>
      <c r="T18" s="35"/>
      <c r="U18" s="35"/>
      <c r="V18" s="35"/>
      <c r="W18" s="35"/>
      <c r="X18" s="35"/>
      <c r="Y18" s="35"/>
    </row>
    <row r="19" spans="1:25">
      <c r="A19" s="1854"/>
      <c r="B19" s="1855"/>
      <c r="C19" s="36">
        <v>2016</v>
      </c>
      <c r="D19" s="37">
        <v>110</v>
      </c>
      <c r="E19" s="38"/>
      <c r="F19" s="38"/>
      <c r="G19" s="32">
        <f t="shared" si="0"/>
        <v>110</v>
      </c>
      <c r="H19" s="39"/>
      <c r="I19" s="38"/>
      <c r="J19" s="38"/>
      <c r="K19" s="38"/>
      <c r="L19" s="38"/>
      <c r="M19" s="38"/>
      <c r="N19" s="38"/>
      <c r="O19" s="40">
        <v>110</v>
      </c>
      <c r="P19" s="35"/>
      <c r="Q19" s="35"/>
      <c r="R19" s="35"/>
      <c r="S19" s="35"/>
      <c r="T19" s="35"/>
      <c r="U19" s="35"/>
      <c r="V19" s="35"/>
      <c r="W19" s="35"/>
      <c r="X19" s="35"/>
      <c r="Y19" s="35"/>
    </row>
    <row r="20" spans="1:25">
      <c r="A20" s="1854"/>
      <c r="B20" s="1855"/>
      <c r="C20" s="36">
        <v>2017</v>
      </c>
      <c r="D20" s="37">
        <v>240</v>
      </c>
      <c r="E20" s="38"/>
      <c r="F20" s="38"/>
      <c r="G20" s="32">
        <f t="shared" si="0"/>
        <v>240</v>
      </c>
      <c r="H20" s="39"/>
      <c r="I20" s="38"/>
      <c r="J20" s="38"/>
      <c r="K20" s="38"/>
      <c r="L20" s="38"/>
      <c r="M20" s="38"/>
      <c r="N20" s="38"/>
      <c r="O20" s="40">
        <v>240</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477</v>
      </c>
      <c r="E24" s="44"/>
      <c r="F24" s="44">
        <f>SUM(F17:F23)</f>
        <v>0</v>
      </c>
      <c r="G24" s="45">
        <f>SUM(D24:F24)</f>
        <v>477</v>
      </c>
      <c r="H24" s="46">
        <f>SUM(H17:H23)</f>
        <v>0</v>
      </c>
      <c r="I24" s="47"/>
      <c r="J24" s="47">
        <f t="shared" ref="J24:N24" si="1">SUM(J17:J23)</f>
        <v>0</v>
      </c>
      <c r="K24" s="47">
        <f t="shared" si="1"/>
        <v>0</v>
      </c>
      <c r="L24" s="47">
        <f t="shared" si="1"/>
        <v>0</v>
      </c>
      <c r="M24" s="47">
        <f t="shared" si="1"/>
        <v>0</v>
      </c>
      <c r="N24" s="47">
        <f t="shared" si="1"/>
        <v>0</v>
      </c>
      <c r="O24" s="48">
        <f>SUM(O17:O23)</f>
        <v>477</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8"/>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91898</v>
      </c>
      <c r="E29" s="38"/>
      <c r="F29" s="38"/>
      <c r="G29" s="58">
        <f t="shared" ref="G29:G35" si="2">SUM(D29:F29)</f>
        <v>91898</v>
      </c>
      <c r="H29" s="35"/>
      <c r="I29" s="35"/>
      <c r="J29" s="35"/>
      <c r="K29" s="35"/>
      <c r="L29" s="35"/>
      <c r="M29" s="35"/>
      <c r="N29" s="35"/>
      <c r="O29" s="35"/>
      <c r="P29" s="35"/>
      <c r="Q29" s="7"/>
    </row>
    <row r="30" spans="1:25">
      <c r="A30" s="1854"/>
      <c r="B30" s="1855"/>
      <c r="C30" s="59">
        <v>2016</v>
      </c>
      <c r="D30" s="39">
        <v>500000</v>
      </c>
      <c r="E30" s="38"/>
      <c r="F30" s="38"/>
      <c r="G30" s="58">
        <f t="shared" si="2"/>
        <v>500000</v>
      </c>
      <c r="H30" s="35"/>
      <c r="I30" s="35"/>
      <c r="J30" s="35"/>
      <c r="K30" s="35"/>
      <c r="L30" s="35"/>
      <c r="M30" s="35"/>
      <c r="N30" s="35"/>
      <c r="O30" s="35"/>
      <c r="P30" s="35"/>
      <c r="Q30" s="7"/>
    </row>
    <row r="31" spans="1:25">
      <c r="A31" s="1854"/>
      <c r="B31" s="1855"/>
      <c r="C31" s="59">
        <v>2017</v>
      </c>
      <c r="D31" s="39">
        <v>551599</v>
      </c>
      <c r="E31" s="38"/>
      <c r="F31" s="38"/>
      <c r="G31" s="58">
        <f t="shared" si="2"/>
        <v>551599</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1143497</v>
      </c>
      <c r="E35" s="44">
        <f>SUM(E28:E34)</f>
        <v>0</v>
      </c>
      <c r="F35" s="44">
        <f>SUM(F28:F34)</f>
        <v>0</v>
      </c>
      <c r="G35" s="48">
        <f t="shared" si="2"/>
        <v>1143497</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66" t="s">
        <v>26</v>
      </c>
      <c r="B39" s="372" t="s">
        <v>171</v>
      </c>
      <c r="C39" s="68" t="s">
        <v>9</v>
      </c>
      <c r="D39" s="69" t="s">
        <v>28</v>
      </c>
      <c r="E39" s="70" t="s">
        <v>29</v>
      </c>
      <c r="F39" s="71"/>
      <c r="G39" s="28"/>
      <c r="H39" s="28"/>
    </row>
    <row r="40" spans="1:17">
      <c r="A40" s="1874"/>
      <c r="B40" s="1855"/>
      <c r="C40" s="72">
        <v>2014</v>
      </c>
      <c r="D40" s="422"/>
      <c r="E40" s="423"/>
      <c r="F40" s="7"/>
      <c r="G40" s="35"/>
      <c r="H40" s="35"/>
    </row>
    <row r="41" spans="1:17">
      <c r="A41" s="1854"/>
      <c r="B41" s="1855"/>
      <c r="C41" s="73">
        <v>2015</v>
      </c>
      <c r="D41" s="424">
        <v>2406</v>
      </c>
      <c r="E41" s="425">
        <v>1949</v>
      </c>
      <c r="F41" s="7"/>
      <c r="G41" s="35"/>
      <c r="H41" s="35"/>
    </row>
    <row r="42" spans="1:17">
      <c r="A42" s="1854"/>
      <c r="B42" s="1855"/>
      <c r="C42" s="426">
        <v>2016</v>
      </c>
      <c r="D42" s="427">
        <v>65103</v>
      </c>
      <c r="E42" s="428">
        <v>6900</v>
      </c>
      <c r="F42" s="361"/>
      <c r="G42" s="35"/>
      <c r="H42" s="35"/>
    </row>
    <row r="43" spans="1:17">
      <c r="A43" s="1854"/>
      <c r="B43" s="1855"/>
      <c r="C43" s="73">
        <v>2017</v>
      </c>
      <c r="D43" s="429">
        <v>21924</v>
      </c>
      <c r="E43" s="430">
        <v>2747</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1">
        <f>SUM(D40:D46)</f>
        <v>89433</v>
      </c>
      <c r="E47" s="432">
        <f>SUM(E40:E46)</f>
        <v>11596</v>
      </c>
      <c r="F47" s="78"/>
      <c r="G47" s="35"/>
      <c r="H47" s="35"/>
    </row>
    <row r="48" spans="1:17" s="35" customFormat="1" ht="15.75" thickBot="1">
      <c r="A48" s="79"/>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1969" t="s">
        <v>44</v>
      </c>
      <c r="B60" s="95"/>
      <c r="C60" s="1971" t="s">
        <v>9</v>
      </c>
      <c r="D60" s="1941" t="s">
        <v>45</v>
      </c>
      <c r="E60" s="96" t="s">
        <v>6</v>
      </c>
      <c r="F60" s="97"/>
      <c r="G60" s="97"/>
      <c r="H60" s="97"/>
      <c r="I60" s="97"/>
      <c r="J60" s="97"/>
      <c r="K60" s="97"/>
      <c r="L60" s="98"/>
    </row>
    <row r="61" spans="1:15" ht="142.1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188</v>
      </c>
      <c r="B62" s="1899"/>
      <c r="C62" s="106">
        <v>2014</v>
      </c>
      <c r="D62" s="107"/>
      <c r="E62" s="108"/>
      <c r="F62" s="109"/>
      <c r="G62" s="109"/>
      <c r="H62" s="109"/>
      <c r="I62" s="109"/>
      <c r="J62" s="109"/>
      <c r="K62" s="109"/>
      <c r="L62" s="34"/>
      <c r="M62" s="7"/>
      <c r="N62" s="7"/>
      <c r="O62" s="7"/>
    </row>
    <row r="63" spans="1:15">
      <c r="A63" s="1891"/>
      <c r="B63" s="1899"/>
      <c r="C63" s="110">
        <v>2015</v>
      </c>
      <c r="D63" s="111"/>
      <c r="E63" s="112"/>
      <c r="F63" s="38"/>
      <c r="G63" s="38"/>
      <c r="H63" s="38"/>
      <c r="I63" s="38"/>
      <c r="J63" s="38"/>
      <c r="K63" s="38"/>
      <c r="L63" s="88"/>
      <c r="M63" s="7"/>
      <c r="N63" s="7"/>
      <c r="O63" s="7"/>
    </row>
    <row r="64" spans="1:15">
      <c r="A64" s="1891"/>
      <c r="B64" s="1899"/>
      <c r="C64" s="110">
        <v>2016</v>
      </c>
      <c r="D64" s="111">
        <v>10</v>
      </c>
      <c r="E64" s="112"/>
      <c r="F64" s="38">
        <v>10</v>
      </c>
      <c r="G64" s="38"/>
      <c r="H64" s="38"/>
      <c r="I64" s="38"/>
      <c r="J64" s="38"/>
      <c r="K64" s="38"/>
      <c r="L64" s="88"/>
      <c r="M64" s="7"/>
      <c r="N64" s="7"/>
      <c r="O64" s="7"/>
    </row>
    <row r="65" spans="1:20">
      <c r="A65" s="1891"/>
      <c r="B65" s="1899"/>
      <c r="C65" s="110">
        <v>2017</v>
      </c>
      <c r="D65" s="111">
        <v>10</v>
      </c>
      <c r="E65" s="112"/>
      <c r="F65" s="38">
        <v>10</v>
      </c>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20</v>
      </c>
      <c r="E69" s="115">
        <f>SUM(E62:E68)</f>
        <v>0</v>
      </c>
      <c r="F69" s="116">
        <f t="shared" ref="F69:I69" si="4">SUM(F62:F68)</f>
        <v>20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66"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053" t="s">
        <v>189</v>
      </c>
      <c r="B72" s="2061" t="s">
        <v>190</v>
      </c>
      <c r="C72" s="72">
        <v>2014</v>
      </c>
      <c r="D72" s="131"/>
      <c r="E72" s="131"/>
      <c r="F72" s="131"/>
      <c r="G72" s="132">
        <f>SUM(D72:F72)</f>
        <v>0</v>
      </c>
      <c r="H72" s="30"/>
      <c r="I72" s="133"/>
      <c r="J72" s="109"/>
      <c r="K72" s="109"/>
      <c r="L72" s="109"/>
      <c r="M72" s="109"/>
      <c r="N72" s="109"/>
      <c r="O72" s="134"/>
    </row>
    <row r="73" spans="1:20">
      <c r="A73" s="2053"/>
      <c r="B73" s="2061"/>
      <c r="C73" s="73">
        <v>2015</v>
      </c>
      <c r="D73" s="135"/>
      <c r="E73" s="135"/>
      <c r="F73" s="135">
        <v>2460</v>
      </c>
      <c r="G73" s="132">
        <f t="shared" ref="G73:G78" si="5">SUM(D73:F73)</f>
        <v>2460</v>
      </c>
      <c r="H73" s="37"/>
      <c r="I73" s="37">
        <v>2460</v>
      </c>
      <c r="J73" s="38"/>
      <c r="K73" s="38"/>
      <c r="L73" s="38"/>
      <c r="M73" s="38"/>
      <c r="N73" s="38"/>
      <c r="O73" s="88"/>
    </row>
    <row r="74" spans="1:20">
      <c r="A74" s="2053"/>
      <c r="B74" s="2061"/>
      <c r="C74" s="73">
        <v>2016</v>
      </c>
      <c r="D74" s="135">
        <v>15</v>
      </c>
      <c r="E74" s="135"/>
      <c r="F74" s="135"/>
      <c r="G74" s="132">
        <f t="shared" si="5"/>
        <v>15</v>
      </c>
      <c r="H74" s="37"/>
      <c r="I74" s="37">
        <v>15</v>
      </c>
      <c r="J74" s="38"/>
      <c r="K74" s="38"/>
      <c r="L74" s="38"/>
      <c r="M74" s="38"/>
      <c r="N74" s="38"/>
      <c r="O74" s="88"/>
    </row>
    <row r="75" spans="1:20">
      <c r="A75" s="2053"/>
      <c r="B75" s="2061"/>
      <c r="C75" s="73">
        <v>2017</v>
      </c>
      <c r="D75" s="135">
        <v>20</v>
      </c>
      <c r="E75" s="135"/>
      <c r="F75" s="135"/>
      <c r="G75" s="132">
        <f t="shared" si="5"/>
        <v>20</v>
      </c>
      <c r="H75" s="37"/>
      <c r="I75" s="37">
        <v>20</v>
      </c>
      <c r="J75" s="38"/>
      <c r="K75" s="38"/>
      <c r="L75" s="38"/>
      <c r="M75" s="38"/>
      <c r="N75" s="38"/>
      <c r="O75" s="88"/>
    </row>
    <row r="76" spans="1:20">
      <c r="A76" s="2053"/>
      <c r="B76" s="2061"/>
      <c r="C76" s="73">
        <v>2018</v>
      </c>
      <c r="D76" s="135"/>
      <c r="E76" s="135"/>
      <c r="F76" s="135"/>
      <c r="G76" s="132">
        <f t="shared" si="5"/>
        <v>0</v>
      </c>
      <c r="H76" s="37"/>
      <c r="I76" s="37"/>
      <c r="J76" s="38"/>
      <c r="K76" s="38"/>
      <c r="L76" s="38"/>
      <c r="M76" s="38"/>
      <c r="N76" s="38"/>
      <c r="O76" s="88"/>
    </row>
    <row r="77" spans="1:20" ht="15.75" customHeight="1">
      <c r="A77" s="2053"/>
      <c r="B77" s="2061"/>
      <c r="C77" s="73">
        <v>2019</v>
      </c>
      <c r="D77" s="135"/>
      <c r="E77" s="135"/>
      <c r="F77" s="135"/>
      <c r="G77" s="132">
        <f t="shared" si="5"/>
        <v>0</v>
      </c>
      <c r="H77" s="37"/>
      <c r="I77" s="37"/>
      <c r="J77" s="38"/>
      <c r="K77" s="38"/>
      <c r="L77" s="38"/>
      <c r="M77" s="38"/>
      <c r="N77" s="38"/>
      <c r="O77" s="88"/>
    </row>
    <row r="78" spans="1:20" ht="17.25" customHeight="1">
      <c r="A78" s="2053"/>
      <c r="B78" s="2061"/>
      <c r="C78" s="73">
        <v>2020</v>
      </c>
      <c r="D78" s="135"/>
      <c r="E78" s="135"/>
      <c r="F78" s="135"/>
      <c r="G78" s="132">
        <f t="shared" si="5"/>
        <v>0</v>
      </c>
      <c r="H78" s="37"/>
      <c r="I78" s="37"/>
      <c r="J78" s="38"/>
      <c r="K78" s="38"/>
      <c r="L78" s="38"/>
      <c r="M78" s="38"/>
      <c r="N78" s="38"/>
      <c r="O78" s="88"/>
    </row>
    <row r="79" spans="1:20" ht="20.25" customHeight="1" thickBot="1">
      <c r="A79" s="2054"/>
      <c r="B79" s="2062"/>
      <c r="C79" s="136" t="s">
        <v>13</v>
      </c>
      <c r="D79" s="114">
        <f>SUM(D72:D78)</f>
        <v>35</v>
      </c>
      <c r="E79" s="114">
        <f>SUM(E72:E78)</f>
        <v>0</v>
      </c>
      <c r="F79" s="114">
        <f>SUM(F72:F78)</f>
        <v>2460</v>
      </c>
      <c r="G79" s="137">
        <f>SUM(G72:G78)</f>
        <v>2495</v>
      </c>
      <c r="H79" s="138">
        <v>0</v>
      </c>
      <c r="I79" s="139">
        <f t="shared" ref="I79:O79" si="6">SUM(I72:I78)</f>
        <v>2495</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47" t="s">
        <v>56</v>
      </c>
      <c r="B84" s="394"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190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191</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c r="E179" s="38"/>
      <c r="F179" s="38"/>
      <c r="G179" s="284">
        <f t="shared" ref="G179:G184" si="19">SUM(D179:F179)</f>
        <v>0</v>
      </c>
      <c r="H179" s="411"/>
      <c r="I179" s="112"/>
      <c r="J179" s="38"/>
      <c r="K179" s="38"/>
      <c r="L179" s="38"/>
      <c r="M179" s="38"/>
      <c r="N179" s="38"/>
      <c r="O179" s="88"/>
    </row>
    <row r="180" spans="1:15">
      <c r="A180" s="1891"/>
      <c r="B180" s="1899"/>
      <c r="C180" s="110">
        <v>2016</v>
      </c>
      <c r="D180" s="37">
        <v>27</v>
      </c>
      <c r="E180" s="38"/>
      <c r="F180" s="38"/>
      <c r="G180" s="284">
        <f t="shared" si="19"/>
        <v>27</v>
      </c>
      <c r="H180" s="411">
        <v>27</v>
      </c>
      <c r="I180" s="112"/>
      <c r="J180" s="38"/>
      <c r="K180" s="38"/>
      <c r="L180" s="38"/>
      <c r="M180" s="38"/>
      <c r="N180" s="38"/>
      <c r="O180" s="88">
        <v>27</v>
      </c>
    </row>
    <row r="181" spans="1:15">
      <c r="A181" s="1891"/>
      <c r="B181" s="1899"/>
      <c r="C181" s="110">
        <v>2017</v>
      </c>
      <c r="D181" s="37">
        <v>14</v>
      </c>
      <c r="E181" s="38"/>
      <c r="F181" s="38"/>
      <c r="G181" s="284">
        <f t="shared" si="19"/>
        <v>14</v>
      </c>
      <c r="H181" s="411">
        <v>14</v>
      </c>
      <c r="I181" s="112"/>
      <c r="J181" s="38"/>
      <c r="K181" s="38"/>
      <c r="L181" s="38"/>
      <c r="M181" s="38"/>
      <c r="N181" s="38"/>
      <c r="O181" s="88">
        <v>14</v>
      </c>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41</v>
      </c>
      <c r="E185" s="116">
        <f>SUM(E178:E184)</f>
        <v>0</v>
      </c>
      <c r="F185" s="116">
        <f>SUM(F178:F184)</f>
        <v>0</v>
      </c>
      <c r="G185" s="220">
        <f t="shared" ref="G185:O185" si="20">SUM(G178:G184)</f>
        <v>41</v>
      </c>
      <c r="H185" s="285">
        <f t="shared" si="20"/>
        <v>41</v>
      </c>
      <c r="I185" s="115">
        <f t="shared" si="20"/>
        <v>0</v>
      </c>
      <c r="J185" s="116">
        <f t="shared" si="20"/>
        <v>0</v>
      </c>
      <c r="K185" s="116">
        <f t="shared" si="20"/>
        <v>0</v>
      </c>
      <c r="L185" s="116">
        <f t="shared" si="20"/>
        <v>0</v>
      </c>
      <c r="M185" s="116">
        <f t="shared" si="20"/>
        <v>0</v>
      </c>
      <c r="N185" s="116">
        <f t="shared" si="20"/>
        <v>0</v>
      </c>
      <c r="O185" s="117">
        <f t="shared" si="20"/>
        <v>41</v>
      </c>
    </row>
    <row r="186" spans="1:15" ht="33" customHeight="1" thickBot="1"/>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192</v>
      </c>
      <c r="B189" s="1977"/>
      <c r="C189" s="290">
        <v>2014</v>
      </c>
      <c r="D189" s="133"/>
      <c r="E189" s="109"/>
      <c r="F189" s="109"/>
      <c r="G189" s="291">
        <f>SUM(D189:F189)</f>
        <v>0</v>
      </c>
      <c r="H189" s="108"/>
      <c r="I189" s="109"/>
      <c r="J189" s="109"/>
      <c r="K189" s="109"/>
      <c r="L189" s="134"/>
    </row>
    <row r="190" spans="1:15">
      <c r="A190" s="1978"/>
      <c r="B190" s="1855"/>
      <c r="C190" s="73">
        <v>2015</v>
      </c>
      <c r="D190" s="37"/>
      <c r="E190" s="38"/>
      <c r="F190" s="38"/>
      <c r="G190" s="291">
        <f t="shared" ref="G190:G195" si="21">SUM(D190:F190)</f>
        <v>0</v>
      </c>
      <c r="H190" s="112"/>
      <c r="I190" s="38"/>
      <c r="J190" s="38"/>
      <c r="K190" s="38"/>
      <c r="L190" s="88"/>
    </row>
    <row r="191" spans="1:15">
      <c r="A191" s="1978"/>
      <c r="B191" s="1855"/>
      <c r="C191" s="73">
        <v>2016</v>
      </c>
      <c r="D191" s="37">
        <v>1000</v>
      </c>
      <c r="E191" s="38"/>
      <c r="F191" s="38"/>
      <c r="G191" s="291">
        <f t="shared" si="21"/>
        <v>1000</v>
      </c>
      <c r="H191" s="112"/>
      <c r="I191" s="38"/>
      <c r="J191" s="38"/>
      <c r="K191" s="38"/>
      <c r="L191" s="88">
        <v>1000</v>
      </c>
    </row>
    <row r="192" spans="1:15">
      <c r="A192" s="1978"/>
      <c r="B192" s="1855"/>
      <c r="C192" s="73">
        <v>2017</v>
      </c>
      <c r="D192" s="37">
        <v>143</v>
      </c>
      <c r="E192" s="38"/>
      <c r="F192" s="38"/>
      <c r="G192" s="291">
        <f t="shared" si="21"/>
        <v>143</v>
      </c>
      <c r="H192" s="112"/>
      <c r="I192" s="38"/>
      <c r="J192" s="38"/>
      <c r="K192" s="38"/>
      <c r="L192" s="88">
        <v>143</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1143</v>
      </c>
      <c r="E196" s="116">
        <f t="shared" si="22"/>
        <v>0</v>
      </c>
      <c r="F196" s="116">
        <f t="shared" si="22"/>
        <v>0</v>
      </c>
      <c r="G196" s="292">
        <f t="shared" si="22"/>
        <v>1143</v>
      </c>
      <c r="H196" s="115">
        <f t="shared" si="22"/>
        <v>0</v>
      </c>
      <c r="I196" s="116">
        <f t="shared" si="22"/>
        <v>0</v>
      </c>
      <c r="J196" s="116">
        <f t="shared" si="22"/>
        <v>0</v>
      </c>
      <c r="K196" s="116">
        <f t="shared" si="22"/>
        <v>0</v>
      </c>
      <c r="L196" s="117">
        <f t="shared" si="22"/>
        <v>1143</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296"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321" t="s">
        <v>161</v>
      </c>
      <c r="B212" s="322" t="s">
        <v>162</v>
      </c>
      <c r="C212" s="323">
        <v>2014</v>
      </c>
      <c r="D212" s="324">
        <v>2015</v>
      </c>
      <c r="E212" s="324">
        <v>2016</v>
      </c>
      <c r="F212" s="324">
        <v>2017</v>
      </c>
      <c r="G212" s="324">
        <v>2018</v>
      </c>
      <c r="H212" s="324">
        <v>2019</v>
      </c>
      <c r="I212" s="325">
        <v>2020</v>
      </c>
    </row>
    <row r="213" spans="1:12" ht="15" customHeight="1">
      <c r="A213" t="s">
        <v>163</v>
      </c>
      <c r="B213" s="1973"/>
      <c r="C213" s="72"/>
      <c r="D213" s="135"/>
      <c r="E213" s="135"/>
      <c r="F213" s="135"/>
      <c r="G213" s="135"/>
      <c r="H213" s="135"/>
      <c r="I213" s="326"/>
    </row>
    <row r="214" spans="1:12">
      <c r="A214" t="s">
        <v>164</v>
      </c>
      <c r="B214" s="1974"/>
      <c r="C214" s="72"/>
      <c r="D214" s="135"/>
      <c r="E214" s="135"/>
      <c r="F214" s="135"/>
      <c r="G214" s="135"/>
      <c r="H214" s="135"/>
      <c r="I214" s="326"/>
    </row>
    <row r="215" spans="1:12">
      <c r="A215" t="s">
        <v>165</v>
      </c>
      <c r="B215" s="1974"/>
      <c r="C215" s="72"/>
      <c r="D215" s="135"/>
      <c r="E215" s="135"/>
      <c r="F215" s="135"/>
      <c r="G215" s="135"/>
      <c r="H215" s="135"/>
      <c r="I215" s="326"/>
    </row>
    <row r="216" spans="1:12">
      <c r="A216" t="s">
        <v>166</v>
      </c>
      <c r="B216" s="1974"/>
      <c r="C216" s="72"/>
      <c r="D216" s="135">
        <v>47797.8</v>
      </c>
      <c r="E216" s="135">
        <v>40650.400000000001</v>
      </c>
      <c r="F216" s="328">
        <v>34792.28</v>
      </c>
      <c r="G216" s="135"/>
      <c r="H216" s="135"/>
      <c r="I216" s="326"/>
    </row>
    <row r="217" spans="1:12">
      <c r="A217" t="s">
        <v>167</v>
      </c>
      <c r="B217" s="1974"/>
      <c r="C217" s="72"/>
      <c r="D217" s="135"/>
      <c r="E217" s="135"/>
      <c r="F217" s="328">
        <v>36000</v>
      </c>
      <c r="G217" s="135"/>
      <c r="H217" s="135"/>
      <c r="I217" s="326"/>
    </row>
    <row r="218" spans="1:12" ht="30">
      <c r="A218" s="56" t="s">
        <v>168</v>
      </c>
      <c r="B218" s="1974"/>
      <c r="C218" s="72"/>
      <c r="D218" s="135"/>
      <c r="E218" s="135"/>
      <c r="F218" s="135"/>
      <c r="G218" s="135"/>
      <c r="H218" s="135"/>
      <c r="I218" s="326"/>
    </row>
    <row r="219" spans="1:12" ht="15.75" thickBot="1">
      <c r="A219" s="331"/>
      <c r="B219" s="1975"/>
      <c r="C219" s="42" t="s">
        <v>13</v>
      </c>
      <c r="D219" s="333">
        <f>SUM(D214:D218)</f>
        <v>47797.8</v>
      </c>
      <c r="E219" s="333">
        <f t="shared" ref="E219:I219" si="24">SUM(E214:E218)</f>
        <v>40650.400000000001</v>
      </c>
      <c r="F219" s="332">
        <f t="shared" si="24"/>
        <v>70792.28</v>
      </c>
      <c r="G219" s="333"/>
      <c r="H219" s="333">
        <f t="shared" si="24"/>
        <v>0</v>
      </c>
      <c r="I219" s="333">
        <f t="shared" si="24"/>
        <v>0</v>
      </c>
    </row>
    <row r="227" spans="1:1">
      <c r="A227" s="56"/>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A79"/>
    <mergeCell ref="B72:B79"/>
    <mergeCell ref="A85:B92"/>
    <mergeCell ref="A96:A97"/>
    <mergeCell ref="B96:B97"/>
    <mergeCell ref="A120:B127"/>
    <mergeCell ref="C96:C97"/>
    <mergeCell ref="D96:E96"/>
    <mergeCell ref="A98:B105"/>
    <mergeCell ref="A107:A108"/>
    <mergeCell ref="B107:B108"/>
    <mergeCell ref="C107:C108"/>
    <mergeCell ref="D107:D108"/>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1"/>
  <sheetViews>
    <sheetView topLeftCell="B7" zoomScale="80" zoomScaleNormal="80" workbookViewId="0">
      <selection activeCell="G224" sqref="G224"/>
    </sheetView>
  </sheetViews>
  <sheetFormatPr defaultRowHeight="15"/>
  <cols>
    <col min="1" max="1" width="113.28515625" customWidth="1"/>
    <col min="2" max="2" width="25.140625" customWidth="1"/>
    <col min="3" max="3" width="12.5703125" customWidth="1"/>
    <col min="4" max="4" width="21.85546875" customWidth="1"/>
    <col min="5" max="5" width="21" customWidth="1"/>
    <col min="6" max="6" width="20.42578125" customWidth="1"/>
    <col min="7" max="7" width="21.28515625" customWidth="1"/>
    <col min="8" max="8" width="25.140625" customWidth="1"/>
    <col min="9" max="9" width="23.85546875" customWidth="1"/>
    <col min="10" max="10" width="22.7109375" customWidth="1"/>
    <col min="11" max="11" width="27" customWidth="1"/>
    <col min="12" max="12" width="23.28515625" customWidth="1"/>
    <col min="13" max="13" width="21.85546875" customWidth="1"/>
    <col min="14" max="14" width="23.28515625" customWidth="1"/>
    <col min="15" max="15" width="21" customWidth="1"/>
    <col min="21" max="21" width="10.28515625" bestFit="1" customWidth="1"/>
  </cols>
  <sheetData>
    <row r="1" spans="1:18" ht="31.5">
      <c r="A1" s="1" t="s">
        <v>0</v>
      </c>
      <c r="B1" s="1" t="s">
        <v>1</v>
      </c>
      <c r="C1" s="1"/>
      <c r="D1" s="1"/>
      <c r="E1" s="1"/>
      <c r="F1" s="1"/>
      <c r="G1" s="1"/>
      <c r="H1" s="1"/>
      <c r="I1" s="1"/>
      <c r="J1" s="1"/>
      <c r="K1" s="1"/>
      <c r="L1" s="1"/>
      <c r="M1" s="1"/>
      <c r="N1" s="1"/>
      <c r="O1" s="1"/>
      <c r="P1" s="1"/>
      <c r="Q1" s="1"/>
      <c r="R1" s="1"/>
    </row>
    <row r="2" spans="1:18" ht="32.25" thickBot="1">
      <c r="A2" s="1"/>
      <c r="B2" s="1"/>
      <c r="C2" s="1"/>
      <c r="D2" s="1"/>
      <c r="E2" s="1"/>
      <c r="F2" s="1"/>
      <c r="G2" s="1"/>
      <c r="H2" s="1"/>
      <c r="I2" s="1"/>
      <c r="J2" s="1"/>
      <c r="K2" s="1"/>
      <c r="L2" s="1"/>
      <c r="M2" s="1"/>
      <c r="N2" s="1"/>
      <c r="O2" s="1"/>
      <c r="P2" s="1"/>
      <c r="Q2" s="1"/>
      <c r="R2" s="1"/>
    </row>
    <row r="3" spans="1:18" ht="31.5">
      <c r="A3" s="2" t="s">
        <v>2</v>
      </c>
      <c r="B3" s="3"/>
      <c r="C3" s="3"/>
      <c r="D3" s="3"/>
      <c r="E3" s="3"/>
      <c r="F3" s="1945"/>
      <c r="G3" s="1945"/>
      <c r="H3" s="1945"/>
      <c r="I3" s="1945"/>
      <c r="J3" s="1945"/>
      <c r="K3" s="1945"/>
      <c r="L3" s="1945"/>
      <c r="M3" s="1945"/>
      <c r="N3" s="1945"/>
      <c r="O3" s="1946"/>
      <c r="P3" s="4"/>
      <c r="Q3" s="4"/>
      <c r="R3" s="4"/>
    </row>
    <row r="4" spans="1:18" ht="31.5">
      <c r="A4" s="1947" t="s">
        <v>3</v>
      </c>
      <c r="B4" s="1948"/>
      <c r="C4" s="1948"/>
      <c r="D4" s="1948"/>
      <c r="E4" s="1948"/>
      <c r="F4" s="1948"/>
      <c r="G4" s="1948"/>
      <c r="H4" s="1948"/>
      <c r="I4" s="1948"/>
      <c r="J4" s="1948"/>
      <c r="K4" s="1948"/>
      <c r="L4" s="1948"/>
      <c r="M4" s="1948"/>
      <c r="N4" s="1948"/>
      <c r="O4" s="1949"/>
      <c r="P4" s="4"/>
      <c r="Q4" s="4"/>
      <c r="R4" s="4"/>
    </row>
    <row r="5" spans="1:18" ht="31.5">
      <c r="A5" s="1947"/>
      <c r="B5" s="1948"/>
      <c r="C5" s="1948"/>
      <c r="D5" s="1948"/>
      <c r="E5" s="1948"/>
      <c r="F5" s="1948"/>
      <c r="G5" s="1948"/>
      <c r="H5" s="1948"/>
      <c r="I5" s="1948"/>
      <c r="J5" s="1948"/>
      <c r="K5" s="1948"/>
      <c r="L5" s="1948"/>
      <c r="M5" s="1948"/>
      <c r="N5" s="1948"/>
      <c r="O5" s="1949"/>
      <c r="P5" s="4"/>
      <c r="Q5" s="4"/>
      <c r="R5" s="4"/>
    </row>
    <row r="6" spans="1:18" ht="31.5">
      <c r="A6" s="1947"/>
      <c r="B6" s="1948"/>
      <c r="C6" s="1948"/>
      <c r="D6" s="1948"/>
      <c r="E6" s="1948"/>
      <c r="F6" s="1948"/>
      <c r="G6" s="1948"/>
      <c r="H6" s="1948"/>
      <c r="I6" s="1948"/>
      <c r="J6" s="1948"/>
      <c r="K6" s="1948"/>
      <c r="L6" s="1948"/>
      <c r="M6" s="1948"/>
      <c r="N6" s="1948"/>
      <c r="O6" s="1949"/>
      <c r="P6" s="4"/>
      <c r="Q6" s="4"/>
      <c r="R6" s="4"/>
    </row>
    <row r="7" spans="1:18" ht="31.5">
      <c r="A7" s="1947"/>
      <c r="B7" s="1948"/>
      <c r="C7" s="1948"/>
      <c r="D7" s="1948"/>
      <c r="E7" s="1948"/>
      <c r="F7" s="1948"/>
      <c r="G7" s="1948"/>
      <c r="H7" s="1948"/>
      <c r="I7" s="1948"/>
      <c r="J7" s="1948"/>
      <c r="K7" s="1948"/>
      <c r="L7" s="1948"/>
      <c r="M7" s="1948"/>
      <c r="N7" s="1948"/>
      <c r="O7" s="1949"/>
      <c r="P7" s="4"/>
      <c r="Q7" s="4"/>
      <c r="R7" s="4"/>
    </row>
    <row r="8" spans="1:18" ht="31.5">
      <c r="A8" s="1947"/>
      <c r="B8" s="1948"/>
      <c r="C8" s="1948"/>
      <c r="D8" s="1948"/>
      <c r="E8" s="1948"/>
      <c r="F8" s="1948"/>
      <c r="G8" s="1948"/>
      <c r="H8" s="1948"/>
      <c r="I8" s="1948"/>
      <c r="J8" s="1948"/>
      <c r="K8" s="1948"/>
      <c r="L8" s="1948"/>
      <c r="M8" s="1948"/>
      <c r="N8" s="1948"/>
      <c r="O8" s="1949"/>
      <c r="P8" s="4"/>
      <c r="Q8" s="4"/>
      <c r="R8" s="4"/>
    </row>
    <row r="9" spans="1:18" ht="31.5">
      <c r="A9" s="1947"/>
      <c r="B9" s="1948"/>
      <c r="C9" s="1948"/>
      <c r="D9" s="1948"/>
      <c r="E9" s="1948"/>
      <c r="F9" s="1948"/>
      <c r="G9" s="1948"/>
      <c r="H9" s="1948"/>
      <c r="I9" s="1948"/>
      <c r="J9" s="1948"/>
      <c r="K9" s="1948"/>
      <c r="L9" s="1948"/>
      <c r="M9" s="1948"/>
      <c r="N9" s="1948"/>
      <c r="O9" s="1949"/>
      <c r="P9" s="4"/>
      <c r="Q9" s="4"/>
      <c r="R9" s="4"/>
    </row>
    <row r="10" spans="1:18" ht="32.25" thickBot="1">
      <c r="A10" s="1950"/>
      <c r="B10" s="1951"/>
      <c r="C10" s="1951"/>
      <c r="D10" s="1951"/>
      <c r="E10" s="1951"/>
      <c r="F10" s="1951"/>
      <c r="G10" s="1951"/>
      <c r="H10" s="1951"/>
      <c r="I10" s="1951"/>
      <c r="J10" s="1951"/>
      <c r="K10" s="1951"/>
      <c r="L10" s="1951"/>
      <c r="M10" s="1951"/>
      <c r="N10" s="1951"/>
      <c r="O10" s="1952"/>
      <c r="P10" s="4"/>
      <c r="Q10" s="4"/>
      <c r="R10" s="4"/>
    </row>
    <row r="11" spans="1:18" ht="31.5">
      <c r="A11" s="1"/>
      <c r="B11" s="1"/>
      <c r="C11" s="1"/>
      <c r="D11" s="1"/>
      <c r="E11" s="1"/>
      <c r="F11" s="1"/>
      <c r="G11" s="1"/>
      <c r="H11" s="1"/>
      <c r="I11" s="1"/>
      <c r="J11" s="1"/>
      <c r="K11" s="1"/>
      <c r="L11" s="1"/>
      <c r="M11" s="1"/>
      <c r="N11" s="1"/>
      <c r="O11" s="1"/>
      <c r="P11" s="1"/>
      <c r="Q11" s="1"/>
      <c r="R11" s="1"/>
    </row>
    <row r="13" spans="1:18" ht="21">
      <c r="A13" s="5" t="s">
        <v>4</v>
      </c>
      <c r="B13" s="5"/>
      <c r="C13" s="6"/>
      <c r="D13" s="6"/>
      <c r="E13" s="6"/>
      <c r="F13" s="6"/>
      <c r="G13" s="6"/>
      <c r="H13" s="6"/>
      <c r="I13" s="6"/>
      <c r="J13" s="6"/>
      <c r="K13" s="6"/>
      <c r="L13" s="6"/>
      <c r="M13" s="6"/>
      <c r="N13" s="6"/>
      <c r="O13" s="6"/>
    </row>
    <row r="14" spans="1:18" ht="15.75" thickBot="1">
      <c r="P14" s="7"/>
      <c r="Q14" s="7"/>
      <c r="R14" s="7"/>
    </row>
    <row r="15" spans="1:18" ht="18.75">
      <c r="A15" s="8"/>
      <c r="B15" s="9"/>
      <c r="C15" s="10"/>
      <c r="D15" s="1953" t="s">
        <v>5</v>
      </c>
      <c r="E15" s="1954"/>
      <c r="F15" s="1954"/>
      <c r="G15" s="1954"/>
      <c r="H15" s="11"/>
      <c r="I15" s="12" t="s">
        <v>6</v>
      </c>
      <c r="J15" s="13"/>
      <c r="K15" s="13"/>
      <c r="L15" s="13"/>
      <c r="M15" s="13"/>
      <c r="N15" s="13"/>
      <c r="O15" s="14"/>
      <c r="P15" s="15"/>
      <c r="Q15" s="16"/>
      <c r="R15" s="17"/>
    </row>
    <row r="16" spans="1:18" ht="102" customHeight="1">
      <c r="A16" s="18" t="s">
        <v>7</v>
      </c>
      <c r="B16" s="19" t="s">
        <v>8</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row>
    <row r="17" spans="1:18">
      <c r="A17" s="2453" t="s">
        <v>22</v>
      </c>
      <c r="B17" s="1998"/>
      <c r="C17" s="29">
        <v>2014</v>
      </c>
      <c r="D17" s="30"/>
      <c r="E17" s="31"/>
      <c r="F17" s="31"/>
      <c r="G17" s="32">
        <f t="shared" ref="G17:G23" si="0">SUM(D17:F17)</f>
        <v>0</v>
      </c>
      <c r="H17" s="33"/>
      <c r="I17" s="31"/>
      <c r="J17" s="31"/>
      <c r="K17" s="31"/>
      <c r="L17" s="31"/>
      <c r="M17" s="31"/>
      <c r="N17" s="31"/>
      <c r="O17" s="34"/>
      <c r="P17" s="35"/>
      <c r="Q17" s="35"/>
      <c r="R17" s="35"/>
    </row>
    <row r="18" spans="1:18">
      <c r="A18" s="2454"/>
      <c r="B18" s="1998"/>
      <c r="C18" s="36">
        <v>2015</v>
      </c>
      <c r="D18" s="37"/>
      <c r="E18" s="38"/>
      <c r="F18" s="38"/>
      <c r="G18" s="32">
        <f t="shared" si="0"/>
        <v>0</v>
      </c>
      <c r="H18" s="39"/>
      <c r="I18" s="38"/>
      <c r="J18" s="38"/>
      <c r="K18" s="38"/>
      <c r="L18" s="38"/>
      <c r="M18" s="38"/>
      <c r="N18" s="38"/>
      <c r="O18" s="40"/>
      <c r="P18" s="35"/>
      <c r="Q18" s="35"/>
      <c r="R18" s="35"/>
    </row>
    <row r="19" spans="1:18">
      <c r="A19" s="2454"/>
      <c r="B19" s="1998"/>
      <c r="C19" s="36">
        <v>2016</v>
      </c>
      <c r="D19" s="37">
        <v>604</v>
      </c>
      <c r="E19" s="38"/>
      <c r="F19" s="38"/>
      <c r="G19" s="32">
        <f t="shared" si="0"/>
        <v>604</v>
      </c>
      <c r="H19" s="39"/>
      <c r="I19" s="38"/>
      <c r="J19" s="38"/>
      <c r="K19" s="38"/>
      <c r="L19" s="38"/>
      <c r="M19" s="38"/>
      <c r="N19" s="38"/>
      <c r="O19" s="40">
        <v>604</v>
      </c>
      <c r="P19" s="35"/>
      <c r="Q19" s="35"/>
      <c r="R19" s="35"/>
    </row>
    <row r="20" spans="1:18">
      <c r="A20" s="2454"/>
      <c r="B20" s="1998"/>
      <c r="C20" s="36">
        <v>2017</v>
      </c>
      <c r="D20" s="37">
        <v>228</v>
      </c>
      <c r="E20" s="38"/>
      <c r="F20" s="38"/>
      <c r="G20" s="32">
        <f t="shared" si="0"/>
        <v>228</v>
      </c>
      <c r="H20" s="39"/>
      <c r="I20" s="38"/>
      <c r="J20" s="38"/>
      <c r="K20" s="38"/>
      <c r="L20" s="38"/>
      <c r="M20" s="38"/>
      <c r="N20" s="38"/>
      <c r="O20" s="40">
        <v>228</v>
      </c>
      <c r="P20" s="35"/>
      <c r="Q20" s="35"/>
      <c r="R20" s="35"/>
    </row>
    <row r="21" spans="1:18">
      <c r="A21" s="2454"/>
      <c r="B21" s="1998"/>
      <c r="C21" s="36">
        <v>2018</v>
      </c>
      <c r="D21" s="37"/>
      <c r="E21" s="38"/>
      <c r="F21" s="38"/>
      <c r="G21" s="32">
        <f t="shared" si="0"/>
        <v>0</v>
      </c>
      <c r="H21" s="39"/>
      <c r="I21" s="38"/>
      <c r="J21" s="38"/>
      <c r="K21" s="38"/>
      <c r="L21" s="38"/>
      <c r="M21" s="38"/>
      <c r="N21" s="38"/>
      <c r="O21" s="40"/>
      <c r="P21" s="35"/>
      <c r="Q21" s="35"/>
      <c r="R21" s="35"/>
    </row>
    <row r="22" spans="1:18">
      <c r="A22" s="2454"/>
      <c r="B22" s="1998"/>
      <c r="C22" s="41">
        <v>2019</v>
      </c>
      <c r="D22" s="37"/>
      <c r="E22" s="38"/>
      <c r="F22" s="38"/>
      <c r="G22" s="32">
        <f t="shared" si="0"/>
        <v>0</v>
      </c>
      <c r="H22" s="39"/>
      <c r="I22" s="38"/>
      <c r="J22" s="38"/>
      <c r="K22" s="38"/>
      <c r="L22" s="38"/>
      <c r="M22" s="38"/>
      <c r="N22" s="38"/>
      <c r="O22" s="40"/>
      <c r="P22" s="35"/>
      <c r="Q22" s="35"/>
      <c r="R22" s="35"/>
    </row>
    <row r="23" spans="1:18">
      <c r="A23" s="2454"/>
      <c r="B23" s="1998"/>
      <c r="C23" s="36">
        <v>2020</v>
      </c>
      <c r="D23" s="37"/>
      <c r="E23" s="38"/>
      <c r="F23" s="38"/>
      <c r="G23" s="32">
        <f t="shared" si="0"/>
        <v>0</v>
      </c>
      <c r="H23" s="39"/>
      <c r="I23" s="38"/>
      <c r="J23" s="38"/>
      <c r="K23" s="38"/>
      <c r="L23" s="38"/>
      <c r="M23" s="38"/>
      <c r="N23" s="38"/>
      <c r="O23" s="40"/>
      <c r="P23" s="35"/>
      <c r="Q23" s="35"/>
      <c r="R23" s="35"/>
    </row>
    <row r="24" spans="1:18" ht="98.25" customHeight="1" thickBot="1">
      <c r="A24" s="2455"/>
      <c r="B24" s="1999"/>
      <c r="C24" s="42" t="s">
        <v>13</v>
      </c>
      <c r="D24" s="43">
        <f>SUM(D17:D23)</f>
        <v>832</v>
      </c>
      <c r="E24" s="44">
        <f>SUM(E17:E23)</f>
        <v>0</v>
      </c>
      <c r="F24" s="44">
        <f>SUM(F17:F23)</f>
        <v>0</v>
      </c>
      <c r="G24" s="45">
        <f>SUM(D24:F24)</f>
        <v>832</v>
      </c>
      <c r="H24" s="46">
        <f>SUM(H17:H23)</f>
        <v>0</v>
      </c>
      <c r="I24" s="47">
        <f t="shared" ref="I24:N24" si="1">SUM(I17:I23)</f>
        <v>0</v>
      </c>
      <c r="J24" s="47">
        <f t="shared" si="1"/>
        <v>0</v>
      </c>
      <c r="K24" s="47">
        <f t="shared" si="1"/>
        <v>0</v>
      </c>
      <c r="L24" s="47">
        <f t="shared" si="1"/>
        <v>0</v>
      </c>
      <c r="M24" s="47">
        <f t="shared" si="1"/>
        <v>0</v>
      </c>
      <c r="N24" s="47">
        <f t="shared" si="1"/>
        <v>0</v>
      </c>
      <c r="O24" s="48">
        <f>SUM(O17:O23)</f>
        <v>832</v>
      </c>
      <c r="P24" s="35"/>
      <c r="Q24" s="35"/>
      <c r="R24" s="35"/>
    </row>
    <row r="25" spans="1:18" ht="15.75" thickBot="1">
      <c r="C25" s="49"/>
      <c r="H25" s="7"/>
      <c r="I25" s="7"/>
      <c r="J25" s="7"/>
      <c r="K25" s="7"/>
      <c r="L25" s="7"/>
      <c r="M25" s="7"/>
      <c r="N25" s="7"/>
      <c r="O25" s="7"/>
      <c r="P25" s="7"/>
      <c r="Q25" s="7"/>
    </row>
    <row r="26" spans="1:18" ht="18.75">
      <c r="A26" s="8"/>
      <c r="B26" s="9"/>
      <c r="C26" s="50"/>
      <c r="D26" s="1959" t="s">
        <v>5</v>
      </c>
      <c r="E26" s="1960"/>
      <c r="F26" s="1960"/>
      <c r="G26" s="1961"/>
      <c r="H26" s="15"/>
      <c r="I26" s="16"/>
      <c r="J26" s="17"/>
      <c r="K26" s="17"/>
      <c r="L26" s="17"/>
      <c r="M26" s="17"/>
      <c r="N26" s="17"/>
      <c r="O26" s="15"/>
      <c r="P26" s="15"/>
      <c r="Q26" s="51"/>
      <c r="R26" s="51"/>
    </row>
    <row r="27" spans="1:18" ht="99" customHeight="1">
      <c r="A27" s="52" t="s">
        <v>23</v>
      </c>
      <c r="B27" s="19" t="s">
        <v>8</v>
      </c>
      <c r="C27" s="53" t="s">
        <v>9</v>
      </c>
      <c r="D27" s="54" t="s">
        <v>10</v>
      </c>
      <c r="E27" s="22" t="s">
        <v>11</v>
      </c>
      <c r="F27" s="22" t="s">
        <v>12</v>
      </c>
      <c r="G27" s="55" t="s">
        <v>13</v>
      </c>
      <c r="H27" s="28"/>
      <c r="I27" s="28"/>
      <c r="J27" s="28"/>
      <c r="K27" s="28"/>
      <c r="L27" s="28"/>
      <c r="M27" s="28"/>
      <c r="N27" s="28"/>
      <c r="O27" s="28"/>
      <c r="P27" s="28"/>
      <c r="Q27" s="51"/>
      <c r="R27" s="56"/>
    </row>
    <row r="28" spans="1:18">
      <c r="A28" s="2456" t="s">
        <v>24</v>
      </c>
      <c r="B28" s="1998"/>
      <c r="C28" s="57">
        <v>2014</v>
      </c>
      <c r="D28" s="33"/>
      <c r="E28" s="31"/>
      <c r="F28" s="31"/>
      <c r="G28" s="58">
        <f>SUM(D28:F28)</f>
        <v>0</v>
      </c>
      <c r="H28" s="35"/>
      <c r="I28" s="35"/>
      <c r="J28" s="35"/>
      <c r="K28" s="35"/>
      <c r="L28" s="35"/>
      <c r="M28" s="35"/>
      <c r="N28" s="35"/>
      <c r="O28" s="35"/>
      <c r="P28" s="35"/>
      <c r="Q28" s="7"/>
    </row>
    <row r="29" spans="1:18">
      <c r="A29" s="2435"/>
      <c r="B29" s="1998"/>
      <c r="C29" s="59">
        <v>2015</v>
      </c>
      <c r="D29" s="39"/>
      <c r="E29" s="38"/>
      <c r="F29" s="38"/>
      <c r="G29" s="58">
        <f t="shared" ref="G29:G35" si="2">SUM(D29:F29)</f>
        <v>0</v>
      </c>
      <c r="H29" s="35"/>
      <c r="I29" s="35"/>
      <c r="J29" s="35"/>
      <c r="K29" s="35"/>
      <c r="L29" s="35"/>
      <c r="M29" s="35"/>
      <c r="N29" s="35"/>
      <c r="O29" s="35"/>
      <c r="P29" s="35"/>
      <c r="Q29" s="7"/>
    </row>
    <row r="30" spans="1:18">
      <c r="A30" s="2435"/>
      <c r="B30" s="1998"/>
      <c r="C30" s="59">
        <v>2016</v>
      </c>
      <c r="D30" s="39">
        <v>17902</v>
      </c>
      <c r="E30" s="38"/>
      <c r="F30" s="38"/>
      <c r="G30" s="58">
        <f t="shared" si="2"/>
        <v>17902</v>
      </c>
      <c r="H30" s="35"/>
      <c r="I30" s="35"/>
      <c r="J30" s="35"/>
      <c r="K30" s="35"/>
      <c r="L30" s="35"/>
      <c r="M30" s="35"/>
      <c r="N30" s="35"/>
      <c r="O30" s="35"/>
      <c r="P30" s="35"/>
      <c r="Q30" s="7"/>
    </row>
    <row r="31" spans="1:18">
      <c r="A31" s="2435"/>
      <c r="B31" s="1998"/>
      <c r="C31" s="59">
        <v>2017</v>
      </c>
      <c r="D31" s="39">
        <v>8204</v>
      </c>
      <c r="E31" s="38"/>
      <c r="F31" s="38"/>
      <c r="G31" s="58">
        <f t="shared" si="2"/>
        <v>8204</v>
      </c>
      <c r="H31" s="35"/>
      <c r="I31" s="35"/>
      <c r="J31" s="35"/>
      <c r="K31" s="35"/>
      <c r="L31" s="35"/>
      <c r="M31" s="35"/>
      <c r="N31" s="35"/>
      <c r="O31" s="35"/>
      <c r="P31" s="35"/>
      <c r="Q31" s="7"/>
    </row>
    <row r="32" spans="1:18">
      <c r="A32" s="2435"/>
      <c r="B32" s="1998"/>
      <c r="C32" s="59">
        <v>2018</v>
      </c>
      <c r="D32" s="39"/>
      <c r="E32" s="38"/>
      <c r="F32" s="38"/>
      <c r="G32" s="58">
        <f t="shared" si="2"/>
        <v>0</v>
      </c>
      <c r="H32" s="35"/>
      <c r="I32" s="35"/>
      <c r="J32" s="35"/>
      <c r="K32" s="35"/>
      <c r="L32" s="35"/>
      <c r="M32" s="35"/>
      <c r="N32" s="35"/>
      <c r="O32" s="35"/>
      <c r="P32" s="35"/>
      <c r="Q32" s="7"/>
    </row>
    <row r="33" spans="1:18">
      <c r="A33" s="2435"/>
      <c r="B33" s="1998"/>
      <c r="C33" s="60">
        <v>2019</v>
      </c>
      <c r="D33" s="39"/>
      <c r="E33" s="38"/>
      <c r="F33" s="38"/>
      <c r="G33" s="58">
        <f t="shared" si="2"/>
        <v>0</v>
      </c>
      <c r="H33" s="35"/>
      <c r="I33" s="35"/>
      <c r="J33" s="35"/>
      <c r="K33" s="35"/>
      <c r="L33" s="35"/>
      <c r="M33" s="35"/>
      <c r="N33" s="35"/>
      <c r="O33" s="35"/>
      <c r="P33" s="35"/>
      <c r="Q33" s="7"/>
    </row>
    <row r="34" spans="1:18">
      <c r="A34" s="2435"/>
      <c r="B34" s="1998"/>
      <c r="C34" s="59">
        <v>2020</v>
      </c>
      <c r="D34" s="39"/>
      <c r="E34" s="38"/>
      <c r="F34" s="38"/>
      <c r="G34" s="58">
        <f t="shared" si="2"/>
        <v>0</v>
      </c>
      <c r="H34" s="35"/>
      <c r="I34" s="35"/>
      <c r="J34" s="35"/>
      <c r="K34" s="35"/>
      <c r="L34" s="35"/>
      <c r="M34" s="35"/>
      <c r="N34" s="35"/>
      <c r="O34" s="35"/>
      <c r="P34" s="35"/>
      <c r="Q34" s="7"/>
    </row>
    <row r="35" spans="1:18" ht="15.75" thickBot="1">
      <c r="A35" s="1856"/>
      <c r="B35" s="1999"/>
      <c r="C35" s="61" t="s">
        <v>13</v>
      </c>
      <c r="D35" s="46">
        <f>SUM(D28:D34)</f>
        <v>26106</v>
      </c>
      <c r="E35" s="44">
        <f>SUM(E28:E34)</f>
        <v>0</v>
      </c>
      <c r="F35" s="44">
        <f>SUM(F28:F34)</f>
        <v>0</v>
      </c>
      <c r="G35" s="48">
        <f t="shared" si="2"/>
        <v>26106</v>
      </c>
      <c r="H35" s="35"/>
      <c r="I35" s="35"/>
      <c r="J35" s="35"/>
      <c r="K35" s="35"/>
      <c r="L35" s="35"/>
      <c r="M35" s="35"/>
      <c r="N35" s="35"/>
      <c r="O35" s="35"/>
      <c r="P35" s="35"/>
      <c r="Q35" s="7"/>
    </row>
    <row r="36" spans="1:18">
      <c r="A36" s="62"/>
      <c r="B36" s="62"/>
      <c r="C36" s="49"/>
      <c r="H36" s="7"/>
      <c r="I36" s="7"/>
      <c r="J36" s="7"/>
      <c r="K36" s="7"/>
      <c r="L36" s="7"/>
      <c r="M36" s="7"/>
      <c r="N36" s="7"/>
      <c r="O36" s="7"/>
      <c r="P36" s="7"/>
      <c r="Q36" s="7"/>
    </row>
    <row r="37" spans="1:18" ht="21">
      <c r="A37" s="63" t="s">
        <v>25</v>
      </c>
      <c r="B37" s="63"/>
      <c r="C37" s="64"/>
      <c r="D37" s="64"/>
      <c r="E37" s="64"/>
      <c r="F37" s="35"/>
      <c r="G37" s="35"/>
      <c r="H37" s="35"/>
      <c r="I37" s="65"/>
      <c r="J37" s="65"/>
      <c r="K37" s="65"/>
    </row>
    <row r="38" spans="1:18" ht="15.75" thickBot="1">
      <c r="G38" s="35"/>
      <c r="H38" s="35"/>
    </row>
    <row r="39" spans="1:18" ht="126" customHeight="1">
      <c r="A39" s="66" t="s">
        <v>26</v>
      </c>
      <c r="B39" s="67" t="s">
        <v>27</v>
      </c>
      <c r="C39" s="68" t="s">
        <v>9</v>
      </c>
      <c r="D39" s="69" t="s">
        <v>28</v>
      </c>
      <c r="E39" s="70" t="s">
        <v>29</v>
      </c>
      <c r="F39" s="71"/>
      <c r="G39" s="28"/>
      <c r="H39" s="28"/>
    </row>
    <row r="40" spans="1:18">
      <c r="A40" s="2459" t="s">
        <v>30</v>
      </c>
      <c r="B40" s="2000" t="s">
        <v>31</v>
      </c>
      <c r="C40" s="72">
        <v>2014</v>
      </c>
      <c r="D40" s="30"/>
      <c r="E40" s="29"/>
      <c r="F40" s="7"/>
      <c r="G40" s="35"/>
      <c r="H40" s="35"/>
    </row>
    <row r="41" spans="1:18">
      <c r="A41" s="2454"/>
      <c r="B41" s="2000"/>
      <c r="C41" s="73">
        <v>2015</v>
      </c>
      <c r="D41" s="74">
        <v>6220849</v>
      </c>
      <c r="E41" s="75">
        <v>2148345</v>
      </c>
      <c r="F41" s="7"/>
      <c r="G41" s="35"/>
      <c r="H41" s="35"/>
    </row>
    <row r="42" spans="1:18">
      <c r="A42" s="2454"/>
      <c r="B42" s="2000"/>
      <c r="C42" s="73">
        <v>2016</v>
      </c>
      <c r="D42" s="74">
        <v>973000</v>
      </c>
      <c r="E42" s="75">
        <v>666000</v>
      </c>
      <c r="F42" s="7"/>
      <c r="G42" s="35"/>
      <c r="H42" s="35"/>
    </row>
    <row r="43" spans="1:18">
      <c r="A43" s="2454"/>
      <c r="B43" s="2000"/>
      <c r="C43" s="73">
        <v>2017</v>
      </c>
      <c r="D43" s="74">
        <v>27000000</v>
      </c>
      <c r="E43" s="75">
        <v>20000000</v>
      </c>
      <c r="F43" s="7"/>
      <c r="G43" s="35"/>
      <c r="H43" s="35"/>
    </row>
    <row r="44" spans="1:18">
      <c r="A44" s="2454"/>
      <c r="B44" s="2000"/>
      <c r="C44" s="73">
        <v>2018</v>
      </c>
      <c r="D44" s="74"/>
      <c r="E44" s="75"/>
      <c r="F44" s="7"/>
      <c r="G44" s="35"/>
      <c r="H44" s="35"/>
    </row>
    <row r="45" spans="1:18">
      <c r="A45" s="2454"/>
      <c r="B45" s="2000"/>
      <c r="C45" s="73">
        <v>2019</v>
      </c>
      <c r="D45" s="74"/>
      <c r="E45" s="75"/>
      <c r="F45" s="7"/>
      <c r="G45" s="35"/>
      <c r="H45" s="35"/>
    </row>
    <row r="46" spans="1:18">
      <c r="A46" s="2454"/>
      <c r="B46" s="2000"/>
      <c r="C46" s="73">
        <v>2020</v>
      </c>
      <c r="D46" s="74"/>
      <c r="E46" s="75"/>
      <c r="F46" s="7"/>
      <c r="G46" s="35"/>
      <c r="H46" s="35"/>
    </row>
    <row r="47" spans="1:18" ht="15.75" thickBot="1">
      <c r="A47" s="2455"/>
      <c r="B47" s="2001"/>
      <c r="C47" s="42" t="s">
        <v>13</v>
      </c>
      <c r="D47" s="76">
        <f>SUM(D40:D46)</f>
        <v>34193849</v>
      </c>
      <c r="E47" s="77">
        <f>SUM(E40:E46)</f>
        <v>22814345</v>
      </c>
      <c r="F47" s="78"/>
      <c r="G47" s="35"/>
      <c r="H47" s="35"/>
    </row>
    <row r="48" spans="1:18" ht="15.75" thickBot="1">
      <c r="A48" s="79"/>
      <c r="B48" s="80"/>
      <c r="C48" s="81"/>
      <c r="D48" s="35"/>
      <c r="E48" s="35"/>
      <c r="F48" s="35"/>
      <c r="G48" s="35"/>
      <c r="H48" s="35"/>
      <c r="I48" s="35"/>
      <c r="J48" s="35"/>
      <c r="K48" s="35"/>
      <c r="L48" s="35"/>
      <c r="M48" s="35"/>
      <c r="N48" s="35"/>
      <c r="O48" s="35"/>
      <c r="P48" s="35"/>
      <c r="Q48" s="35"/>
      <c r="R48" s="35"/>
    </row>
    <row r="49" spans="1:15" ht="100.5" customHeight="1">
      <c r="A49" s="82" t="s">
        <v>32</v>
      </c>
      <c r="B49" s="83" t="s">
        <v>33</v>
      </c>
      <c r="C49" s="84" t="s">
        <v>9</v>
      </c>
      <c r="D49" s="69" t="s">
        <v>34</v>
      </c>
      <c r="E49" s="85" t="s">
        <v>35</v>
      </c>
      <c r="F49" s="85" t="s">
        <v>36</v>
      </c>
      <c r="G49" s="85" t="s">
        <v>37</v>
      </c>
      <c r="H49" s="85" t="s">
        <v>38</v>
      </c>
      <c r="I49" s="85" t="s">
        <v>39</v>
      </c>
      <c r="J49" s="85" t="s">
        <v>40</v>
      </c>
      <c r="K49" s="86" t="s">
        <v>41</v>
      </c>
    </row>
    <row r="50" spans="1:15">
      <c r="A50" s="2460" t="s">
        <v>42</v>
      </c>
      <c r="B50" s="2462"/>
      <c r="C50" s="87" t="s">
        <v>43</v>
      </c>
      <c r="D50" s="30"/>
      <c r="E50" s="31"/>
      <c r="F50" s="31"/>
      <c r="G50" s="31"/>
      <c r="H50" s="31"/>
      <c r="I50" s="31"/>
      <c r="J50" s="31"/>
      <c r="K50" s="34"/>
    </row>
    <row r="51" spans="1:15">
      <c r="A51" s="2460"/>
      <c r="B51" s="2462"/>
      <c r="C51" s="73">
        <v>2014</v>
      </c>
      <c r="D51" s="37"/>
      <c r="E51" s="38"/>
      <c r="F51" s="38"/>
      <c r="G51" s="38"/>
      <c r="H51" s="38"/>
      <c r="I51" s="38"/>
      <c r="J51" s="38"/>
      <c r="K51" s="88"/>
    </row>
    <row r="52" spans="1:15">
      <c r="A52" s="2460"/>
      <c r="B52" s="2462"/>
      <c r="C52" s="73">
        <v>2015</v>
      </c>
      <c r="D52" s="37">
        <v>1</v>
      </c>
      <c r="E52" s="38"/>
      <c r="F52" s="38"/>
      <c r="G52" s="89">
        <v>5000</v>
      </c>
      <c r="H52" s="38">
        <v>5000</v>
      </c>
      <c r="I52" s="38"/>
      <c r="J52" s="38"/>
      <c r="K52" s="88"/>
    </row>
    <row r="53" spans="1:15">
      <c r="A53" s="2460"/>
      <c r="B53" s="2462"/>
      <c r="C53" s="73">
        <v>2016</v>
      </c>
      <c r="D53" s="90">
        <v>1</v>
      </c>
      <c r="E53" s="91"/>
      <c r="F53" s="91"/>
      <c r="G53" s="92">
        <v>9000</v>
      </c>
      <c r="H53" s="91">
        <v>0</v>
      </c>
      <c r="I53" s="38"/>
      <c r="J53" s="38"/>
      <c r="K53" s="88"/>
    </row>
    <row r="54" spans="1:15">
      <c r="A54" s="2460"/>
      <c r="B54" s="2462"/>
      <c r="C54" s="73">
        <v>2017</v>
      </c>
      <c r="D54" s="90">
        <v>2</v>
      </c>
      <c r="E54" s="91"/>
      <c r="F54" s="91"/>
      <c r="G54" s="92">
        <v>17015</v>
      </c>
      <c r="H54" s="91">
        <v>816</v>
      </c>
      <c r="I54" s="38"/>
      <c r="J54" s="38"/>
      <c r="K54" s="88"/>
    </row>
    <row r="55" spans="1:15">
      <c r="A55" s="2460"/>
      <c r="B55" s="2462"/>
      <c r="C55" s="73">
        <v>2018</v>
      </c>
      <c r="D55" s="37"/>
      <c r="E55" s="38"/>
      <c r="F55" s="38"/>
      <c r="G55" s="89"/>
      <c r="H55" s="38"/>
      <c r="I55" s="38"/>
      <c r="J55" s="38"/>
      <c r="K55" s="88"/>
    </row>
    <row r="56" spans="1:15">
      <c r="A56" s="2460"/>
      <c r="B56" s="2462"/>
      <c r="C56" s="73">
        <v>2019</v>
      </c>
      <c r="D56" s="37"/>
      <c r="E56" s="38"/>
      <c r="F56" s="38"/>
      <c r="G56" s="89"/>
      <c r="H56" s="38"/>
      <c r="I56" s="38"/>
      <c r="J56" s="38"/>
      <c r="K56" s="88"/>
    </row>
    <row r="57" spans="1:15">
      <c r="A57" s="2460"/>
      <c r="B57" s="2462"/>
      <c r="C57" s="73">
        <v>2020</v>
      </c>
      <c r="D57" s="37"/>
      <c r="E57" s="38"/>
      <c r="F57" s="38"/>
      <c r="G57" s="89"/>
      <c r="H57" s="38"/>
      <c r="I57" s="38"/>
      <c r="J57" s="38"/>
      <c r="K57" s="93"/>
    </row>
    <row r="58" spans="1:15" ht="45" customHeight="1" thickBot="1">
      <c r="A58" s="2461"/>
      <c r="B58" s="2463"/>
      <c r="C58" s="42" t="s">
        <v>13</v>
      </c>
      <c r="D58" s="43">
        <f t="shared" ref="D58:J58" si="3">SUM(D51:D57)</f>
        <v>4</v>
      </c>
      <c r="E58" s="44">
        <f t="shared" si="3"/>
        <v>0</v>
      </c>
      <c r="F58" s="44">
        <f t="shared" si="3"/>
        <v>0</v>
      </c>
      <c r="G58" s="94">
        <f>G54</f>
        <v>17015</v>
      </c>
      <c r="H58" s="44">
        <f t="shared" si="3"/>
        <v>5816</v>
      </c>
      <c r="I58" s="44">
        <f t="shared" si="3"/>
        <v>0</v>
      </c>
      <c r="J58" s="44">
        <f t="shared" si="3"/>
        <v>0</v>
      </c>
      <c r="K58" s="48">
        <f>SUM(K50:K56)</f>
        <v>0</v>
      </c>
    </row>
    <row r="59" spans="1:15" ht="15.75" thickBot="1"/>
    <row r="60" spans="1:15" ht="18.75">
      <c r="A60" s="1969" t="s">
        <v>44</v>
      </c>
      <c r="B60" s="95"/>
      <c r="C60" s="1971" t="s">
        <v>9</v>
      </c>
      <c r="D60" s="1941" t="s">
        <v>45</v>
      </c>
      <c r="E60" s="96" t="s">
        <v>6</v>
      </c>
      <c r="F60" s="97"/>
      <c r="G60" s="97"/>
      <c r="H60" s="97"/>
      <c r="I60" s="97"/>
      <c r="J60" s="97"/>
      <c r="K60" s="97"/>
      <c r="L60" s="98"/>
    </row>
    <row r="61" spans="1:15" ht="121.5" customHeight="1">
      <c r="A61" s="1970"/>
      <c r="B61" s="99" t="s">
        <v>33</v>
      </c>
      <c r="C61" s="1972"/>
      <c r="D61" s="1942"/>
      <c r="E61" s="100" t="s">
        <v>14</v>
      </c>
      <c r="F61" s="101" t="s">
        <v>15</v>
      </c>
      <c r="G61" s="101" t="s">
        <v>16</v>
      </c>
      <c r="H61" s="102" t="s">
        <v>17</v>
      </c>
      <c r="I61" s="102" t="s">
        <v>18</v>
      </c>
      <c r="J61" s="103" t="s">
        <v>19</v>
      </c>
      <c r="K61" s="101" t="s">
        <v>20</v>
      </c>
      <c r="L61" s="104" t="s">
        <v>21</v>
      </c>
      <c r="M61" s="105"/>
      <c r="N61" s="7"/>
      <c r="O61" s="7"/>
    </row>
    <row r="62" spans="1:15">
      <c r="A62" s="2447" t="s">
        <v>46</v>
      </c>
      <c r="B62" s="1984"/>
      <c r="C62" s="106">
        <v>2014</v>
      </c>
      <c r="D62" s="107"/>
      <c r="E62" s="108"/>
      <c r="F62" s="109"/>
      <c r="G62" s="109"/>
      <c r="H62" s="109"/>
      <c r="I62" s="109"/>
      <c r="J62" s="109"/>
      <c r="K62" s="109"/>
      <c r="L62" s="34"/>
      <c r="M62" s="7"/>
      <c r="N62" s="7"/>
      <c r="O62" s="7"/>
    </row>
    <row r="63" spans="1:15">
      <c r="A63" s="2440"/>
      <c r="B63" s="1984"/>
      <c r="C63" s="110">
        <v>2015</v>
      </c>
      <c r="D63" s="111"/>
      <c r="E63" s="112"/>
      <c r="F63" s="38"/>
      <c r="G63" s="38"/>
      <c r="H63" s="38"/>
      <c r="I63" s="38"/>
      <c r="J63" s="38"/>
      <c r="K63" s="38"/>
      <c r="L63" s="88"/>
      <c r="M63" s="7"/>
      <c r="N63" s="7"/>
      <c r="O63" s="7"/>
    </row>
    <row r="64" spans="1:15">
      <c r="A64" s="2440"/>
      <c r="B64" s="1984"/>
      <c r="C64" s="110">
        <v>2016</v>
      </c>
      <c r="D64" s="111">
        <v>27</v>
      </c>
      <c r="E64" s="112"/>
      <c r="F64" s="38">
        <v>27</v>
      </c>
      <c r="G64" s="38"/>
      <c r="H64" s="38"/>
      <c r="I64" s="38"/>
      <c r="J64" s="38"/>
      <c r="K64" s="38"/>
      <c r="L64" s="88"/>
      <c r="M64" s="7"/>
      <c r="N64" s="7"/>
      <c r="O64" s="7"/>
    </row>
    <row r="65" spans="1:18">
      <c r="A65" s="2440"/>
      <c r="B65" s="1984"/>
      <c r="C65" s="110">
        <v>2017</v>
      </c>
      <c r="D65" s="111">
        <v>8</v>
      </c>
      <c r="E65" s="112"/>
      <c r="F65" s="38">
        <v>8</v>
      </c>
      <c r="G65" s="38"/>
      <c r="H65" s="38"/>
      <c r="I65" s="38"/>
      <c r="J65" s="38"/>
      <c r="K65" s="38"/>
      <c r="L65" s="88"/>
      <c r="M65" s="7"/>
      <c r="N65" s="7"/>
      <c r="O65" s="7"/>
    </row>
    <row r="66" spans="1:18">
      <c r="A66" s="2440"/>
      <c r="B66" s="1984"/>
      <c r="C66" s="110">
        <v>2018</v>
      </c>
      <c r="D66" s="111"/>
      <c r="E66" s="112"/>
      <c r="F66" s="38"/>
      <c r="G66" s="38"/>
      <c r="H66" s="38"/>
      <c r="I66" s="38"/>
      <c r="J66" s="38"/>
      <c r="K66" s="38"/>
      <c r="L66" s="88"/>
      <c r="M66" s="7"/>
      <c r="N66" s="7"/>
      <c r="O66" s="7"/>
    </row>
    <row r="67" spans="1:18">
      <c r="A67" s="2440"/>
      <c r="B67" s="1984"/>
      <c r="C67" s="110">
        <v>2019</v>
      </c>
      <c r="D67" s="111"/>
      <c r="E67" s="112"/>
      <c r="F67" s="38"/>
      <c r="G67" s="38"/>
      <c r="H67" s="38"/>
      <c r="I67" s="38"/>
      <c r="J67" s="38"/>
      <c r="K67" s="38"/>
      <c r="L67" s="88"/>
      <c r="M67" s="7"/>
      <c r="N67" s="7"/>
      <c r="O67" s="7"/>
    </row>
    <row r="68" spans="1:18">
      <c r="A68" s="2440"/>
      <c r="B68" s="1984"/>
      <c r="C68" s="110">
        <v>2020</v>
      </c>
      <c r="D68" s="111"/>
      <c r="E68" s="112"/>
      <c r="F68" s="38"/>
      <c r="G68" s="38"/>
      <c r="H68" s="38"/>
      <c r="I68" s="38"/>
      <c r="J68" s="38"/>
      <c r="K68" s="38"/>
      <c r="L68" s="88"/>
      <c r="M68" s="78"/>
      <c r="N68" s="78"/>
      <c r="O68" s="78"/>
    </row>
    <row r="69" spans="1:18" ht="34.5" customHeight="1" thickBot="1">
      <c r="A69" s="1980"/>
      <c r="B69" s="1985"/>
      <c r="C69" s="113" t="s">
        <v>13</v>
      </c>
      <c r="D69" s="114">
        <f t="shared" ref="D69:I69" si="4">SUM(D62:D68)</f>
        <v>35</v>
      </c>
      <c r="E69" s="115">
        <f t="shared" si="4"/>
        <v>0</v>
      </c>
      <c r="F69" s="116">
        <f t="shared" si="4"/>
        <v>35</v>
      </c>
      <c r="G69" s="116">
        <f t="shared" si="4"/>
        <v>0</v>
      </c>
      <c r="H69" s="116">
        <f t="shared" si="4"/>
        <v>0</v>
      </c>
      <c r="I69" s="116">
        <f t="shared" si="4"/>
        <v>0</v>
      </c>
      <c r="J69" s="116"/>
      <c r="K69" s="116">
        <f>SUM(K62:K68)</f>
        <v>0</v>
      </c>
      <c r="L69" s="117">
        <f>SUM(L62:L68)</f>
        <v>0</v>
      </c>
      <c r="M69" s="78"/>
      <c r="N69" s="78"/>
      <c r="O69" s="78"/>
    </row>
    <row r="70" spans="1:18" ht="15.75" thickBot="1">
      <c r="A70" s="118"/>
      <c r="B70" s="119"/>
      <c r="C70" s="120"/>
      <c r="D70" s="121"/>
      <c r="E70" s="121"/>
      <c r="F70" s="121"/>
      <c r="G70" s="121"/>
      <c r="H70" s="120"/>
      <c r="I70" s="122"/>
      <c r="J70" s="122"/>
      <c r="K70" s="122"/>
      <c r="L70" s="122"/>
      <c r="M70" s="122"/>
      <c r="N70" s="122"/>
      <c r="O70" s="122"/>
      <c r="P70" s="56"/>
      <c r="Q70" s="56"/>
      <c r="R70" s="56"/>
    </row>
    <row r="71" spans="1:18" ht="127.5" customHeight="1">
      <c r="A71" s="66" t="s">
        <v>47</v>
      </c>
      <c r="B71" s="95" t="s">
        <v>48</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18">
      <c r="A72" s="2456" t="s">
        <v>53</v>
      </c>
      <c r="B72" s="1998" t="s">
        <v>54</v>
      </c>
      <c r="C72" s="72">
        <v>2014</v>
      </c>
      <c r="D72" s="131"/>
      <c r="E72" s="131"/>
      <c r="F72" s="131"/>
      <c r="G72" s="132">
        <v>0</v>
      </c>
      <c r="H72" s="30"/>
      <c r="I72" s="133"/>
      <c r="J72" s="109"/>
      <c r="K72" s="109"/>
      <c r="L72" s="109"/>
      <c r="M72" s="109"/>
      <c r="N72" s="109"/>
      <c r="O72" s="134"/>
    </row>
    <row r="73" spans="1:18">
      <c r="A73" s="2435"/>
      <c r="B73" s="1998"/>
      <c r="C73" s="73">
        <v>2015</v>
      </c>
      <c r="D73" s="135">
        <v>21</v>
      </c>
      <c r="E73" s="135"/>
      <c r="F73" s="135">
        <v>1</v>
      </c>
      <c r="G73" s="132">
        <f>SUM(D73:F73)</f>
        <v>22</v>
      </c>
      <c r="H73" s="37">
        <v>21</v>
      </c>
      <c r="I73" s="37"/>
      <c r="J73" s="38"/>
      <c r="K73" s="38"/>
      <c r="L73" s="38"/>
      <c r="M73" s="38"/>
      <c r="N73" s="38"/>
      <c r="O73" s="88">
        <v>1</v>
      </c>
    </row>
    <row r="74" spans="1:18">
      <c r="A74" s="2435"/>
      <c r="B74" s="1998"/>
      <c r="C74" s="73">
        <v>2016</v>
      </c>
      <c r="D74" s="135">
        <v>30</v>
      </c>
      <c r="E74" s="135"/>
      <c r="F74" s="135"/>
      <c r="G74" s="132">
        <f>SUM(D74:F74)</f>
        <v>30</v>
      </c>
      <c r="H74" s="37"/>
      <c r="I74" s="37">
        <v>30</v>
      </c>
      <c r="J74" s="38"/>
      <c r="K74" s="38"/>
      <c r="L74" s="38"/>
      <c r="M74" s="38"/>
      <c r="N74" s="38"/>
      <c r="O74" s="88"/>
    </row>
    <row r="75" spans="1:18">
      <c r="A75" s="2435"/>
      <c r="B75" s="1998"/>
      <c r="C75" s="73">
        <v>2017</v>
      </c>
      <c r="D75" s="135">
        <v>37</v>
      </c>
      <c r="E75" s="135"/>
      <c r="F75" s="135"/>
      <c r="G75" s="132">
        <v>37</v>
      </c>
      <c r="H75" s="37"/>
      <c r="I75" s="37">
        <v>37</v>
      </c>
      <c r="J75" s="38"/>
      <c r="K75" s="38"/>
      <c r="L75" s="38"/>
      <c r="M75" s="38"/>
      <c r="N75" s="38"/>
      <c r="O75" s="88"/>
    </row>
    <row r="76" spans="1:18">
      <c r="A76" s="2435"/>
      <c r="B76" s="1998"/>
      <c r="C76" s="73">
        <v>2018</v>
      </c>
      <c r="D76" s="135"/>
      <c r="E76" s="135"/>
      <c r="F76" s="135"/>
      <c r="G76" s="132">
        <v>0</v>
      </c>
      <c r="H76" s="37"/>
      <c r="I76" s="37"/>
      <c r="J76" s="38"/>
      <c r="K76" s="38"/>
      <c r="L76" s="38"/>
      <c r="M76" s="38"/>
      <c r="N76" s="38"/>
      <c r="O76" s="88"/>
    </row>
    <row r="77" spans="1:18">
      <c r="A77" s="2435"/>
      <c r="B77" s="1998"/>
      <c r="C77" s="73">
        <v>2019</v>
      </c>
      <c r="D77" s="135"/>
      <c r="E77" s="135"/>
      <c r="F77" s="135"/>
      <c r="G77" s="132">
        <v>0</v>
      </c>
      <c r="H77" s="37"/>
      <c r="I77" s="37"/>
      <c r="J77" s="38"/>
      <c r="K77" s="38"/>
      <c r="L77" s="38"/>
      <c r="M77" s="38"/>
      <c r="N77" s="38"/>
      <c r="O77" s="88"/>
    </row>
    <row r="78" spans="1:18">
      <c r="A78" s="2435"/>
      <c r="B78" s="1998"/>
      <c r="C78" s="73">
        <v>2020</v>
      </c>
      <c r="D78" s="135"/>
      <c r="E78" s="135"/>
      <c r="F78" s="135"/>
      <c r="G78" s="132">
        <v>0</v>
      </c>
      <c r="H78" s="37"/>
      <c r="I78" s="37"/>
      <c r="J78" s="38"/>
      <c r="K78" s="38"/>
      <c r="L78" s="38"/>
      <c r="M78" s="38"/>
      <c r="N78" s="38"/>
      <c r="O78" s="88"/>
    </row>
    <row r="79" spans="1:18" ht="39" customHeight="1" thickBot="1">
      <c r="A79" s="1980"/>
      <c r="B79" s="1999"/>
      <c r="C79" s="136" t="s">
        <v>13</v>
      </c>
      <c r="D79" s="114">
        <f>SUM(D72:D78)</f>
        <v>88</v>
      </c>
      <c r="E79" s="114">
        <f>SUM(E72:E78)</f>
        <v>0</v>
      </c>
      <c r="F79" s="114">
        <f>SUM(F72:F78)</f>
        <v>1</v>
      </c>
      <c r="G79" s="137">
        <f>SUM(G72:G78)</f>
        <v>89</v>
      </c>
      <c r="H79" s="138">
        <v>0</v>
      </c>
      <c r="I79" s="139">
        <f t="shared" ref="I79:O79" si="5">SUM(I72:I78)</f>
        <v>67</v>
      </c>
      <c r="J79" s="116">
        <f t="shared" si="5"/>
        <v>0</v>
      </c>
      <c r="K79" s="116">
        <f t="shared" si="5"/>
        <v>0</v>
      </c>
      <c r="L79" s="116">
        <f t="shared" si="5"/>
        <v>0</v>
      </c>
      <c r="M79" s="116">
        <f t="shared" si="5"/>
        <v>0</v>
      </c>
      <c r="N79" s="116">
        <f t="shared" si="5"/>
        <v>0</v>
      </c>
      <c r="O79" s="117">
        <f t="shared" si="5"/>
        <v>1</v>
      </c>
    </row>
    <row r="81" spans="1:18">
      <c r="A81" s="140"/>
      <c r="B81" s="119"/>
      <c r="C81" s="141"/>
      <c r="D81" s="142"/>
      <c r="E81" s="78"/>
      <c r="F81" s="78"/>
      <c r="G81" s="78"/>
      <c r="H81" s="78"/>
      <c r="I81" s="78"/>
      <c r="J81" s="78"/>
      <c r="K81" s="78"/>
    </row>
    <row r="82" spans="1:18" ht="21">
      <c r="A82" s="143" t="s">
        <v>55</v>
      </c>
      <c r="B82" s="143"/>
      <c r="C82" s="144"/>
      <c r="D82" s="144"/>
      <c r="E82" s="144"/>
      <c r="F82" s="144"/>
      <c r="G82" s="144"/>
      <c r="H82" s="144"/>
      <c r="I82" s="144"/>
      <c r="J82" s="144"/>
      <c r="K82" s="144"/>
      <c r="L82" s="145"/>
    </row>
    <row r="83" spans="1:18" ht="15.75" thickBot="1">
      <c r="A83" s="146"/>
      <c r="B83" s="146"/>
    </row>
    <row r="84" spans="1:18" ht="129.75" customHeight="1">
      <c r="A84" s="147" t="s">
        <v>56</v>
      </c>
      <c r="B84" s="148" t="s">
        <v>57</v>
      </c>
      <c r="C84" s="149" t="s">
        <v>9</v>
      </c>
      <c r="D84" s="150" t="s">
        <v>58</v>
      </c>
      <c r="E84" s="151" t="s">
        <v>59</v>
      </c>
      <c r="F84" s="152" t="s">
        <v>60</v>
      </c>
      <c r="G84" s="152" t="s">
        <v>61</v>
      </c>
      <c r="H84" s="152" t="s">
        <v>62</v>
      </c>
      <c r="I84" s="152" t="s">
        <v>63</v>
      </c>
      <c r="J84" s="152" t="s">
        <v>64</v>
      </c>
      <c r="K84" s="153" t="s">
        <v>65</v>
      </c>
      <c r="L84" s="56"/>
      <c r="M84" s="56"/>
      <c r="N84" s="56"/>
      <c r="O84" s="56"/>
      <c r="P84" s="56"/>
      <c r="Q84" s="56"/>
      <c r="R84" s="56"/>
    </row>
    <row r="85" spans="1:18">
      <c r="A85" s="2457" t="s">
        <v>66</v>
      </c>
      <c r="B85" s="1998"/>
      <c r="C85" s="72">
        <v>2014</v>
      </c>
      <c r="D85" s="154"/>
      <c r="E85" s="155"/>
      <c r="F85" s="31"/>
      <c r="G85" s="31"/>
      <c r="H85" s="31"/>
      <c r="I85" s="31"/>
      <c r="J85" s="31"/>
      <c r="K85" s="34"/>
    </row>
    <row r="86" spans="1:18">
      <c r="A86" s="2458"/>
      <c r="B86" s="1998"/>
      <c r="C86" s="73">
        <v>2015</v>
      </c>
      <c r="D86" s="156"/>
      <c r="E86" s="112"/>
      <c r="F86" s="38"/>
      <c r="G86" s="38"/>
      <c r="H86" s="38"/>
      <c r="I86" s="38"/>
      <c r="J86" s="38"/>
      <c r="K86" s="88"/>
    </row>
    <row r="87" spans="1:18">
      <c r="A87" s="2458"/>
      <c r="B87" s="1998"/>
      <c r="C87" s="73">
        <v>2016</v>
      </c>
      <c r="D87" s="156"/>
      <c r="E87" s="112"/>
      <c r="F87" s="38"/>
      <c r="G87" s="38"/>
      <c r="H87" s="38"/>
      <c r="I87" s="38"/>
      <c r="J87" s="38"/>
      <c r="K87" s="88"/>
    </row>
    <row r="88" spans="1:18">
      <c r="A88" s="2458"/>
      <c r="B88" s="1998"/>
      <c r="C88" s="73">
        <v>2017</v>
      </c>
      <c r="D88" s="156"/>
      <c r="E88" s="112"/>
      <c r="F88" s="38"/>
      <c r="G88" s="38"/>
      <c r="H88" s="38"/>
      <c r="I88" s="38"/>
      <c r="J88" s="38"/>
      <c r="K88" s="88"/>
    </row>
    <row r="89" spans="1:18">
      <c r="A89" s="2458"/>
      <c r="B89" s="1998"/>
      <c r="C89" s="73">
        <v>2018</v>
      </c>
      <c r="D89" s="156"/>
      <c r="E89" s="112"/>
      <c r="F89" s="38"/>
      <c r="G89" s="38"/>
      <c r="H89" s="38"/>
      <c r="I89" s="38"/>
      <c r="J89" s="38"/>
      <c r="K89" s="88"/>
    </row>
    <row r="90" spans="1:18">
      <c r="A90" s="2458"/>
      <c r="B90" s="1998"/>
      <c r="C90" s="73">
        <v>2019</v>
      </c>
      <c r="D90" s="156"/>
      <c r="E90" s="112"/>
      <c r="F90" s="38"/>
      <c r="G90" s="38"/>
      <c r="H90" s="38"/>
      <c r="I90" s="38"/>
      <c r="J90" s="38"/>
      <c r="K90" s="88"/>
    </row>
    <row r="91" spans="1:18">
      <c r="A91" s="2458"/>
      <c r="B91" s="1998"/>
      <c r="C91" s="73">
        <v>2020</v>
      </c>
      <c r="D91" s="156"/>
      <c r="E91" s="112"/>
      <c r="F91" s="38"/>
      <c r="G91" s="38"/>
      <c r="H91" s="38"/>
      <c r="I91" s="38"/>
      <c r="J91" s="38"/>
      <c r="K91" s="88"/>
    </row>
    <row r="92" spans="1:18" ht="15.75" thickBot="1">
      <c r="A92" s="1940"/>
      <c r="B92" s="1999"/>
      <c r="C92" s="136" t="s">
        <v>13</v>
      </c>
      <c r="D92" s="157">
        <f t="shared" ref="D92:I92" si="6">SUM(D85:D91)</f>
        <v>0</v>
      </c>
      <c r="E92" s="115">
        <f t="shared" si="6"/>
        <v>0</v>
      </c>
      <c r="F92" s="116">
        <f t="shared" si="6"/>
        <v>0</v>
      </c>
      <c r="G92" s="116">
        <f t="shared" si="6"/>
        <v>0</v>
      </c>
      <c r="H92" s="116">
        <f t="shared" si="6"/>
        <v>0</v>
      </c>
      <c r="I92" s="116">
        <f t="shared" si="6"/>
        <v>0</v>
      </c>
      <c r="J92" s="116">
        <f>SUM(J85:J91)</f>
        <v>0</v>
      </c>
      <c r="K92" s="117">
        <f>SUM(K85:K91)</f>
        <v>0</v>
      </c>
    </row>
    <row r="94" spans="1:18" ht="21">
      <c r="A94" s="158" t="s">
        <v>67</v>
      </c>
      <c r="B94" s="158"/>
      <c r="C94" s="159"/>
      <c r="D94" s="159"/>
      <c r="E94" s="159"/>
      <c r="F94" s="159"/>
      <c r="G94" s="159"/>
      <c r="H94" s="159"/>
      <c r="I94" s="159"/>
      <c r="J94" s="159"/>
      <c r="K94" s="159"/>
      <c r="L94" s="159"/>
      <c r="M94" s="159"/>
      <c r="N94" s="160"/>
      <c r="O94" s="160"/>
      <c r="P94" s="160"/>
    </row>
    <row r="95" spans="1:18" ht="21.75" thickBot="1">
      <c r="A95" s="161"/>
      <c r="B95" s="161"/>
      <c r="C95" s="65"/>
      <c r="D95" s="65"/>
      <c r="E95" s="65"/>
      <c r="F95" s="65"/>
      <c r="G95" s="65"/>
      <c r="H95" s="65"/>
      <c r="I95" s="65"/>
      <c r="J95" s="65"/>
      <c r="K95" s="65"/>
      <c r="L95" s="65"/>
      <c r="M95" s="65"/>
      <c r="N95" s="65"/>
      <c r="O95" s="65"/>
      <c r="P95" s="65"/>
      <c r="Q95" s="65"/>
      <c r="R95" s="65"/>
    </row>
    <row r="96" spans="1:18">
      <c r="A96" s="1909" t="s">
        <v>68</v>
      </c>
      <c r="B96" s="2451" t="s">
        <v>69</v>
      </c>
      <c r="C96" s="1924" t="s">
        <v>9</v>
      </c>
      <c r="D96" s="1916" t="s">
        <v>70</v>
      </c>
      <c r="E96" s="1917"/>
      <c r="F96" s="162" t="s">
        <v>71</v>
      </c>
      <c r="G96" s="163"/>
      <c r="H96" s="163"/>
      <c r="I96" s="163"/>
      <c r="J96" s="163"/>
      <c r="K96" s="163"/>
      <c r="L96" s="163"/>
      <c r="M96" s="164"/>
      <c r="N96" s="165"/>
      <c r="O96" s="165"/>
      <c r="P96" s="165"/>
    </row>
    <row r="97" spans="1:16" ht="84.75">
      <c r="A97" s="1910"/>
      <c r="B97" s="245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c r="A98" s="2447" t="s">
        <v>76</v>
      </c>
      <c r="B98" s="2448"/>
      <c r="C98" s="106">
        <v>2014</v>
      </c>
      <c r="D98" s="30"/>
      <c r="E98" s="31"/>
      <c r="F98" s="174"/>
      <c r="G98" s="175"/>
      <c r="H98" s="175"/>
      <c r="I98" s="175"/>
      <c r="J98" s="175"/>
      <c r="K98" s="175"/>
      <c r="L98" s="175"/>
      <c r="M98" s="176"/>
      <c r="N98" s="165"/>
      <c r="O98" s="165"/>
      <c r="P98" s="165"/>
    </row>
    <row r="99" spans="1:16">
      <c r="A99" s="2440"/>
      <c r="B99" s="2449"/>
      <c r="C99" s="110">
        <v>2015</v>
      </c>
      <c r="D99" s="37"/>
      <c r="E99" s="38"/>
      <c r="F99" s="177"/>
      <c r="G99" s="178"/>
      <c r="H99" s="178"/>
      <c r="I99" s="178"/>
      <c r="J99" s="178"/>
      <c r="K99" s="178"/>
      <c r="L99" s="178"/>
      <c r="M99" s="179"/>
      <c r="N99" s="165"/>
      <c r="O99" s="165"/>
      <c r="P99" s="165"/>
    </row>
    <row r="100" spans="1:16">
      <c r="A100" s="2440"/>
      <c r="B100" s="2449"/>
      <c r="C100" s="110">
        <v>2016</v>
      </c>
      <c r="D100" s="37"/>
      <c r="E100" s="38"/>
      <c r="F100" s="177"/>
      <c r="G100" s="178"/>
      <c r="H100" s="178"/>
      <c r="I100" s="178"/>
      <c r="J100" s="178"/>
      <c r="K100" s="178"/>
      <c r="L100" s="178"/>
      <c r="M100" s="179"/>
      <c r="N100" s="165"/>
      <c r="O100" s="165"/>
      <c r="P100" s="165"/>
    </row>
    <row r="101" spans="1:16">
      <c r="A101" s="2440"/>
      <c r="B101" s="2449"/>
      <c r="C101" s="110">
        <v>2017</v>
      </c>
      <c r="D101" s="37"/>
      <c r="E101" s="38"/>
      <c r="F101" s="177"/>
      <c r="G101" s="178"/>
      <c r="H101" s="178"/>
      <c r="I101" s="178"/>
      <c r="J101" s="178"/>
      <c r="K101" s="178"/>
      <c r="L101" s="178"/>
      <c r="M101" s="179"/>
      <c r="N101" s="165"/>
      <c r="O101" s="165"/>
      <c r="P101" s="165"/>
    </row>
    <row r="102" spans="1:16">
      <c r="A102" s="2440"/>
      <c r="B102" s="2449"/>
      <c r="C102" s="110">
        <v>2018</v>
      </c>
      <c r="D102" s="37"/>
      <c r="E102" s="38"/>
      <c r="F102" s="177"/>
      <c r="G102" s="178"/>
      <c r="H102" s="178"/>
      <c r="I102" s="178"/>
      <c r="J102" s="178"/>
      <c r="K102" s="178"/>
      <c r="L102" s="178"/>
      <c r="M102" s="179"/>
      <c r="N102" s="165"/>
      <c r="O102" s="165"/>
      <c r="P102" s="165"/>
    </row>
    <row r="103" spans="1:16">
      <c r="A103" s="2440"/>
      <c r="B103" s="2449"/>
      <c r="C103" s="110">
        <v>2019</v>
      </c>
      <c r="D103" s="37"/>
      <c r="E103" s="38"/>
      <c r="F103" s="177"/>
      <c r="G103" s="178"/>
      <c r="H103" s="178"/>
      <c r="I103" s="178"/>
      <c r="J103" s="178"/>
      <c r="K103" s="178"/>
      <c r="L103" s="178"/>
      <c r="M103" s="179"/>
      <c r="N103" s="165"/>
      <c r="O103" s="165"/>
      <c r="P103" s="165"/>
    </row>
    <row r="104" spans="1:16">
      <c r="A104" s="2440"/>
      <c r="B104" s="2449"/>
      <c r="C104" s="110">
        <v>2020</v>
      </c>
      <c r="D104" s="37"/>
      <c r="E104" s="38"/>
      <c r="F104" s="177"/>
      <c r="G104" s="178"/>
      <c r="H104" s="178"/>
      <c r="I104" s="178"/>
      <c r="J104" s="178"/>
      <c r="K104" s="178"/>
      <c r="L104" s="178"/>
      <c r="M104" s="179"/>
      <c r="N104" s="165"/>
      <c r="O104" s="165"/>
      <c r="P104" s="165"/>
    </row>
    <row r="105" spans="1:16" ht="15.75" thickBot="1">
      <c r="A105" s="1915"/>
      <c r="B105" s="2450"/>
      <c r="C105" s="113" t="s">
        <v>13</v>
      </c>
      <c r="D105" s="139">
        <f t="shared" ref="D105:K105" si="7">SUM(D98:D104)</f>
        <v>0</v>
      </c>
      <c r="E105" s="116">
        <f t="shared" si="7"/>
        <v>0</v>
      </c>
      <c r="F105" s="180">
        <f t="shared" si="7"/>
        <v>0</v>
      </c>
      <c r="G105" s="181">
        <f t="shared" si="7"/>
        <v>0</v>
      </c>
      <c r="H105" s="181">
        <f t="shared" si="7"/>
        <v>0</v>
      </c>
      <c r="I105" s="181">
        <f t="shared" si="7"/>
        <v>0</v>
      </c>
      <c r="J105" s="181">
        <f t="shared" si="7"/>
        <v>0</v>
      </c>
      <c r="K105" s="181">
        <f t="shared" si="7"/>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c r="A107" s="1909" t="s">
        <v>77</v>
      </c>
      <c r="B107" s="2451" t="s">
        <v>69</v>
      </c>
      <c r="C107" s="1924" t="s">
        <v>9</v>
      </c>
      <c r="D107" s="1926" t="s">
        <v>78</v>
      </c>
      <c r="E107" s="162" t="s">
        <v>79</v>
      </c>
      <c r="F107" s="163"/>
      <c r="G107" s="163"/>
      <c r="H107" s="163"/>
      <c r="I107" s="163"/>
      <c r="J107" s="163"/>
      <c r="K107" s="163"/>
      <c r="L107" s="164"/>
      <c r="M107" s="185"/>
      <c r="N107" s="185"/>
    </row>
    <row r="108" spans="1:16" ht="118.5" customHeight="1">
      <c r="A108" s="1910"/>
      <c r="B108" s="2452"/>
      <c r="C108" s="1925"/>
      <c r="D108" s="1927"/>
      <c r="E108" s="168" t="s">
        <v>14</v>
      </c>
      <c r="F108" s="169" t="s">
        <v>74</v>
      </c>
      <c r="G108" s="170" t="s">
        <v>61</v>
      </c>
      <c r="H108" s="171" t="s">
        <v>62</v>
      </c>
      <c r="I108" s="171" t="s">
        <v>63</v>
      </c>
      <c r="J108" s="172" t="s">
        <v>75</v>
      </c>
      <c r="K108" s="170" t="s">
        <v>64</v>
      </c>
      <c r="L108" s="173" t="s">
        <v>65</v>
      </c>
      <c r="M108" s="185"/>
      <c r="N108" s="185"/>
    </row>
    <row r="109" spans="1:16">
      <c r="A109" s="2447" t="s">
        <v>80</v>
      </c>
      <c r="B109" s="2448"/>
      <c r="C109" s="106">
        <v>2014</v>
      </c>
      <c r="D109" s="31"/>
      <c r="E109" s="174"/>
      <c r="F109" s="175"/>
      <c r="G109" s="175"/>
      <c r="H109" s="175"/>
      <c r="I109" s="175"/>
      <c r="J109" s="175"/>
      <c r="K109" s="175"/>
      <c r="L109" s="176"/>
      <c r="M109" s="185"/>
      <c r="N109" s="185"/>
    </row>
    <row r="110" spans="1:16">
      <c r="A110" s="2440"/>
      <c r="B110" s="2449"/>
      <c r="C110" s="110">
        <v>2015</v>
      </c>
      <c r="D110" s="38"/>
      <c r="E110" s="177"/>
      <c r="F110" s="178"/>
      <c r="G110" s="178"/>
      <c r="H110" s="178"/>
      <c r="I110" s="178"/>
      <c r="J110" s="178"/>
      <c r="K110" s="178"/>
      <c r="L110" s="179"/>
      <c r="M110" s="185"/>
      <c r="N110" s="185"/>
    </row>
    <row r="111" spans="1:16">
      <c r="A111" s="2440"/>
      <c r="B111" s="2449"/>
      <c r="C111" s="110">
        <v>2016</v>
      </c>
      <c r="D111" s="38"/>
      <c r="E111" s="177"/>
      <c r="F111" s="178"/>
      <c r="G111" s="178"/>
      <c r="H111" s="178"/>
      <c r="I111" s="178"/>
      <c r="J111" s="178"/>
      <c r="K111" s="178"/>
      <c r="L111" s="179"/>
      <c r="M111" s="185"/>
      <c r="N111" s="185"/>
    </row>
    <row r="112" spans="1:16">
      <c r="A112" s="2440"/>
      <c r="B112" s="2449"/>
      <c r="C112" s="110">
        <v>2017</v>
      </c>
      <c r="D112" s="38"/>
      <c r="E112" s="177"/>
      <c r="F112" s="178"/>
      <c r="G112" s="178"/>
      <c r="H112" s="178"/>
      <c r="I112" s="178"/>
      <c r="J112" s="178"/>
      <c r="K112" s="178"/>
      <c r="L112" s="179"/>
      <c r="M112" s="185"/>
      <c r="N112" s="185"/>
    </row>
    <row r="113" spans="1:14">
      <c r="A113" s="2440"/>
      <c r="B113" s="2449"/>
      <c r="C113" s="110">
        <v>2018</v>
      </c>
      <c r="D113" s="38"/>
      <c r="E113" s="177"/>
      <c r="F113" s="178"/>
      <c r="G113" s="178"/>
      <c r="H113" s="178"/>
      <c r="I113" s="178"/>
      <c r="J113" s="178"/>
      <c r="K113" s="178"/>
      <c r="L113" s="179"/>
      <c r="M113" s="185"/>
      <c r="N113" s="185"/>
    </row>
    <row r="114" spans="1:14">
      <c r="A114" s="2440"/>
      <c r="B114" s="2449"/>
      <c r="C114" s="110">
        <v>2019</v>
      </c>
      <c r="D114" s="38"/>
      <c r="E114" s="177"/>
      <c r="F114" s="178"/>
      <c r="G114" s="178"/>
      <c r="H114" s="178"/>
      <c r="I114" s="178"/>
      <c r="J114" s="178"/>
      <c r="K114" s="178"/>
      <c r="L114" s="179"/>
      <c r="M114" s="185"/>
      <c r="N114" s="185"/>
    </row>
    <row r="115" spans="1:14">
      <c r="A115" s="2440"/>
      <c r="B115" s="2449"/>
      <c r="C115" s="110">
        <v>2020</v>
      </c>
      <c r="D115" s="38"/>
      <c r="E115" s="177"/>
      <c r="F115" s="178"/>
      <c r="G115" s="178"/>
      <c r="H115" s="178"/>
      <c r="I115" s="178"/>
      <c r="J115" s="178"/>
      <c r="K115" s="178"/>
      <c r="L115" s="179"/>
      <c r="M115" s="185"/>
      <c r="N115" s="185"/>
    </row>
    <row r="116" spans="1:14" ht="15.75" thickBot="1">
      <c r="A116" s="1915"/>
      <c r="B116" s="2450"/>
      <c r="C116" s="113" t="s">
        <v>13</v>
      </c>
      <c r="D116" s="116">
        <f t="shared" ref="D116:I116" si="8">SUM(D109:D115)</f>
        <v>0</v>
      </c>
      <c r="E116" s="180">
        <f t="shared" si="8"/>
        <v>0</v>
      </c>
      <c r="F116" s="181">
        <f t="shared" si="8"/>
        <v>0</v>
      </c>
      <c r="G116" s="181">
        <f t="shared" si="8"/>
        <v>0</v>
      </c>
      <c r="H116" s="181">
        <f t="shared" si="8"/>
        <v>0</v>
      </c>
      <c r="I116" s="181">
        <f t="shared" si="8"/>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c r="A118" s="1909" t="s">
        <v>81</v>
      </c>
      <c r="B118" s="2451" t="s">
        <v>69</v>
      </c>
      <c r="C118" s="1924" t="s">
        <v>9</v>
      </c>
      <c r="D118" s="1926" t="s">
        <v>82</v>
      </c>
      <c r="E118" s="162" t="s">
        <v>79</v>
      </c>
      <c r="F118" s="163"/>
      <c r="G118" s="163"/>
      <c r="H118" s="163"/>
      <c r="I118" s="163"/>
      <c r="J118" s="163"/>
      <c r="K118" s="163"/>
      <c r="L118" s="164"/>
      <c r="M118" s="185"/>
      <c r="N118" s="185"/>
    </row>
    <row r="119" spans="1:14" ht="133.5" customHeight="1">
      <c r="A119" s="1910"/>
      <c r="B119" s="2452"/>
      <c r="C119" s="1925"/>
      <c r="D119" s="1927"/>
      <c r="E119" s="168" t="s">
        <v>14</v>
      </c>
      <c r="F119" s="169" t="s">
        <v>74</v>
      </c>
      <c r="G119" s="170" t="s">
        <v>61</v>
      </c>
      <c r="H119" s="171" t="s">
        <v>62</v>
      </c>
      <c r="I119" s="171" t="s">
        <v>63</v>
      </c>
      <c r="J119" s="172" t="s">
        <v>75</v>
      </c>
      <c r="K119" s="170" t="s">
        <v>64</v>
      </c>
      <c r="L119" s="173" t="s">
        <v>65</v>
      </c>
      <c r="M119" s="185"/>
      <c r="N119" s="185"/>
    </row>
    <row r="120" spans="1:14">
      <c r="A120" s="2447" t="s">
        <v>83</v>
      </c>
      <c r="B120" s="2448"/>
      <c r="C120" s="106">
        <v>2014</v>
      </c>
      <c r="D120" s="31"/>
      <c r="E120" s="174"/>
      <c r="F120" s="175"/>
      <c r="G120" s="175"/>
      <c r="H120" s="175"/>
      <c r="I120" s="175"/>
      <c r="J120" s="175"/>
      <c r="K120" s="175"/>
      <c r="L120" s="176"/>
      <c r="M120" s="185"/>
      <c r="N120" s="185"/>
    </row>
    <row r="121" spans="1:14">
      <c r="A121" s="2440"/>
      <c r="B121" s="2449"/>
      <c r="C121" s="110">
        <v>2015</v>
      </c>
      <c r="D121" s="38"/>
      <c r="E121" s="177"/>
      <c r="F121" s="178"/>
      <c r="G121" s="178"/>
      <c r="H121" s="178"/>
      <c r="I121" s="178"/>
      <c r="J121" s="178"/>
      <c r="K121" s="178"/>
      <c r="L121" s="179"/>
      <c r="M121" s="185"/>
      <c r="N121" s="185"/>
    </row>
    <row r="122" spans="1:14">
      <c r="A122" s="2440"/>
      <c r="B122" s="2449"/>
      <c r="C122" s="110">
        <v>2016</v>
      </c>
      <c r="D122" s="38"/>
      <c r="E122" s="177"/>
      <c r="F122" s="178"/>
      <c r="G122" s="178"/>
      <c r="H122" s="178"/>
      <c r="I122" s="178"/>
      <c r="J122" s="178"/>
      <c r="K122" s="178"/>
      <c r="L122" s="179"/>
      <c r="M122" s="185"/>
      <c r="N122" s="185"/>
    </row>
    <row r="123" spans="1:14">
      <c r="A123" s="2440"/>
      <c r="B123" s="2449"/>
      <c r="C123" s="110">
        <v>2017</v>
      </c>
      <c r="D123" s="38"/>
      <c r="E123" s="177"/>
      <c r="F123" s="178"/>
      <c r="G123" s="178"/>
      <c r="H123" s="178"/>
      <c r="I123" s="178"/>
      <c r="J123" s="178"/>
      <c r="K123" s="178"/>
      <c r="L123" s="179"/>
      <c r="M123" s="185"/>
      <c r="N123" s="185"/>
    </row>
    <row r="124" spans="1:14">
      <c r="A124" s="2440"/>
      <c r="B124" s="2449"/>
      <c r="C124" s="110">
        <v>2018</v>
      </c>
      <c r="D124" s="38"/>
      <c r="E124" s="177"/>
      <c r="F124" s="178"/>
      <c r="G124" s="178"/>
      <c r="H124" s="178"/>
      <c r="I124" s="178"/>
      <c r="J124" s="178"/>
      <c r="K124" s="178"/>
      <c r="L124" s="179"/>
      <c r="M124" s="185"/>
      <c r="N124" s="185"/>
    </row>
    <row r="125" spans="1:14">
      <c r="A125" s="2440"/>
      <c r="B125" s="2449"/>
      <c r="C125" s="110">
        <v>2019</v>
      </c>
      <c r="D125" s="38"/>
      <c r="E125" s="177"/>
      <c r="F125" s="178"/>
      <c r="G125" s="178"/>
      <c r="H125" s="178"/>
      <c r="I125" s="178"/>
      <c r="J125" s="178"/>
      <c r="K125" s="178"/>
      <c r="L125" s="179"/>
      <c r="M125" s="185"/>
      <c r="N125" s="185"/>
    </row>
    <row r="126" spans="1:14">
      <c r="A126" s="2440"/>
      <c r="B126" s="2449"/>
      <c r="C126" s="110">
        <v>2020</v>
      </c>
      <c r="D126" s="38"/>
      <c r="E126" s="177"/>
      <c r="F126" s="178"/>
      <c r="G126" s="178"/>
      <c r="H126" s="178"/>
      <c r="I126" s="178"/>
      <c r="J126" s="178"/>
      <c r="K126" s="178"/>
      <c r="L126" s="179"/>
      <c r="M126" s="185"/>
      <c r="N126" s="185"/>
    </row>
    <row r="127" spans="1:14" ht="15.75" thickBot="1">
      <c r="A127" s="1915"/>
      <c r="B127" s="2450"/>
      <c r="C127" s="113" t="s">
        <v>13</v>
      </c>
      <c r="D127" s="116">
        <f t="shared" ref="D127:I127" si="9">SUM(D120:D126)</f>
        <v>0</v>
      </c>
      <c r="E127" s="180">
        <f t="shared" si="9"/>
        <v>0</v>
      </c>
      <c r="F127" s="181">
        <f t="shared" si="9"/>
        <v>0</v>
      </c>
      <c r="G127" s="181">
        <f t="shared" si="9"/>
        <v>0</v>
      </c>
      <c r="H127" s="181">
        <f t="shared" si="9"/>
        <v>0</v>
      </c>
      <c r="I127" s="181">
        <f t="shared" si="9"/>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8">
      <c r="A129" s="1909" t="s">
        <v>84</v>
      </c>
      <c r="B129" s="2451" t="s">
        <v>69</v>
      </c>
      <c r="C129" s="188" t="s">
        <v>9</v>
      </c>
      <c r="D129" s="189" t="s">
        <v>85</v>
      </c>
      <c r="E129" s="190"/>
      <c r="F129" s="190"/>
      <c r="G129" s="191"/>
      <c r="H129" s="185"/>
      <c r="I129" s="185"/>
      <c r="J129" s="185"/>
      <c r="K129" s="185"/>
      <c r="L129" s="185"/>
      <c r="M129" s="185"/>
      <c r="N129" s="185"/>
    </row>
    <row r="130" spans="1:18" ht="90" customHeight="1">
      <c r="A130" s="1910"/>
      <c r="B130" s="2452"/>
      <c r="C130" s="192"/>
      <c r="D130" s="166" t="s">
        <v>86</v>
      </c>
      <c r="E130" s="193" t="s">
        <v>87</v>
      </c>
      <c r="F130" s="167" t="s">
        <v>88</v>
      </c>
      <c r="G130" s="194" t="s">
        <v>13</v>
      </c>
      <c r="H130" s="185"/>
      <c r="I130" s="185"/>
      <c r="J130" s="185"/>
      <c r="K130" s="185"/>
      <c r="L130" s="185"/>
      <c r="M130" s="185"/>
      <c r="N130" s="185"/>
    </row>
    <row r="131" spans="1:18">
      <c r="A131" s="2453" t="s">
        <v>89</v>
      </c>
      <c r="B131" s="1996"/>
      <c r="C131" s="106">
        <v>2015</v>
      </c>
      <c r="D131" s="30"/>
      <c r="E131" s="31"/>
      <c r="F131" s="31"/>
      <c r="G131" s="195">
        <f t="shared" ref="G131:G136" si="10">SUM(D131:F131)</f>
        <v>0</v>
      </c>
      <c r="H131" s="185"/>
      <c r="I131" s="185"/>
      <c r="J131" s="185"/>
      <c r="K131" s="185"/>
      <c r="L131" s="185"/>
      <c r="M131" s="185"/>
      <c r="N131" s="185"/>
    </row>
    <row r="132" spans="1:18">
      <c r="A132" s="2454"/>
      <c r="B132" s="1996"/>
      <c r="C132" s="110">
        <v>2016</v>
      </c>
      <c r="D132" s="37"/>
      <c r="E132" s="38"/>
      <c r="F132" s="38"/>
      <c r="G132" s="195">
        <f t="shared" si="10"/>
        <v>0</v>
      </c>
      <c r="H132" s="185"/>
      <c r="I132" s="185"/>
      <c r="J132" s="185"/>
      <c r="K132" s="185"/>
      <c r="L132" s="185"/>
      <c r="M132" s="185"/>
      <c r="N132" s="185"/>
    </row>
    <row r="133" spans="1:18">
      <c r="A133" s="2454"/>
      <c r="B133" s="1996"/>
      <c r="C133" s="110">
        <v>2017</v>
      </c>
      <c r="D133" s="37"/>
      <c r="E133" s="38"/>
      <c r="F133" s="38"/>
      <c r="G133" s="195">
        <f t="shared" si="10"/>
        <v>0</v>
      </c>
      <c r="H133" s="185"/>
      <c r="I133" s="185"/>
      <c r="J133" s="185"/>
      <c r="K133" s="185"/>
      <c r="L133" s="185"/>
      <c r="M133" s="185"/>
      <c r="N133" s="185"/>
    </row>
    <row r="134" spans="1:18">
      <c r="A134" s="2454"/>
      <c r="B134" s="1996"/>
      <c r="C134" s="110">
        <v>2018</v>
      </c>
      <c r="D134" s="37"/>
      <c r="E134" s="38"/>
      <c r="F134" s="38"/>
      <c r="G134" s="195">
        <f t="shared" si="10"/>
        <v>0</v>
      </c>
      <c r="H134" s="185"/>
      <c r="I134" s="185"/>
      <c r="J134" s="185"/>
      <c r="K134" s="185"/>
      <c r="L134" s="185"/>
      <c r="M134" s="185"/>
      <c r="N134" s="185"/>
    </row>
    <row r="135" spans="1:18">
      <c r="A135" s="2454"/>
      <c r="B135" s="1996"/>
      <c r="C135" s="110">
        <v>2019</v>
      </c>
      <c r="D135" s="37"/>
      <c r="E135" s="38"/>
      <c r="F135" s="38"/>
      <c r="G135" s="195">
        <f t="shared" si="10"/>
        <v>0</v>
      </c>
      <c r="H135" s="185"/>
      <c r="I135" s="185"/>
      <c r="J135" s="185"/>
      <c r="K135" s="185"/>
      <c r="L135" s="185"/>
      <c r="M135" s="185"/>
      <c r="N135" s="185"/>
    </row>
    <row r="136" spans="1:18">
      <c r="A136" s="2454"/>
      <c r="B136" s="1996"/>
      <c r="C136" s="110">
        <v>2020</v>
      </c>
      <c r="D136" s="37"/>
      <c r="E136" s="38"/>
      <c r="F136" s="38"/>
      <c r="G136" s="195">
        <f t="shared" si="10"/>
        <v>0</v>
      </c>
      <c r="H136" s="185"/>
      <c r="I136" s="185"/>
      <c r="J136" s="185"/>
      <c r="K136" s="185"/>
      <c r="L136" s="185"/>
      <c r="M136" s="185"/>
      <c r="N136" s="185"/>
    </row>
    <row r="137" spans="1:18" ht="15.75" thickBot="1">
      <c r="A137" s="2455"/>
      <c r="B137" s="1997"/>
      <c r="C137" s="113" t="s">
        <v>13</v>
      </c>
      <c r="D137" s="139">
        <f>SUM(D130:D136)</f>
        <v>0</v>
      </c>
      <c r="E137" s="116">
        <f>SUM(E130:E136)</f>
        <v>0</v>
      </c>
      <c r="F137" s="116">
        <f>SUM(F130:F136)</f>
        <v>0</v>
      </c>
      <c r="G137" s="196">
        <f>SUM(G130:G136)</f>
        <v>0</v>
      </c>
      <c r="H137" s="185"/>
      <c r="I137" s="185"/>
      <c r="J137" s="185"/>
      <c r="K137" s="185"/>
      <c r="L137" s="185"/>
      <c r="M137" s="185"/>
      <c r="N137" s="185"/>
    </row>
    <row r="138" spans="1:18">
      <c r="A138" s="183"/>
      <c r="B138" s="183"/>
      <c r="C138" s="184"/>
      <c r="D138" s="7"/>
      <c r="E138" s="7"/>
      <c r="H138" s="185"/>
      <c r="I138" s="185"/>
      <c r="J138" s="185"/>
      <c r="K138" s="185"/>
      <c r="L138" s="185"/>
      <c r="M138" s="185"/>
      <c r="N138" s="185"/>
    </row>
    <row r="139" spans="1:18">
      <c r="A139" s="197"/>
      <c r="B139" s="80"/>
      <c r="C139" s="81"/>
      <c r="D139" s="35"/>
      <c r="E139" s="35"/>
      <c r="F139" s="35"/>
      <c r="G139" s="35"/>
      <c r="H139" s="35"/>
      <c r="I139" s="198"/>
      <c r="J139" s="199"/>
      <c r="K139" s="199"/>
      <c r="L139" s="199"/>
      <c r="M139" s="199"/>
      <c r="N139" s="199"/>
      <c r="O139" s="199"/>
      <c r="P139" s="199"/>
      <c r="Q139" s="65"/>
      <c r="R139" s="65"/>
    </row>
    <row r="140" spans="1:18" ht="21">
      <c r="A140" s="200" t="s">
        <v>90</v>
      </c>
      <c r="B140" s="200"/>
      <c r="C140" s="201"/>
      <c r="D140" s="201"/>
      <c r="E140" s="201"/>
      <c r="F140" s="201"/>
      <c r="G140" s="201"/>
      <c r="H140" s="201"/>
      <c r="I140" s="201"/>
      <c r="J140" s="201"/>
      <c r="K140" s="201"/>
      <c r="L140" s="201"/>
      <c r="M140" s="201"/>
      <c r="N140" s="201"/>
      <c r="O140" s="160"/>
      <c r="P140" s="160"/>
    </row>
    <row r="141" spans="1:18" ht="15.75" thickBot="1">
      <c r="A141" s="202"/>
      <c r="B141" s="119"/>
      <c r="C141" s="141"/>
      <c r="D141" s="78"/>
      <c r="E141" s="78"/>
      <c r="F141" s="78"/>
      <c r="G141" s="78"/>
      <c r="H141" s="78"/>
      <c r="I141" s="165"/>
      <c r="J141" s="165"/>
      <c r="K141" s="165"/>
      <c r="L141" s="165"/>
      <c r="M141" s="165"/>
      <c r="N141" s="165"/>
      <c r="O141" s="165"/>
      <c r="P141" s="165"/>
    </row>
    <row r="142" spans="1:18">
      <c r="A142" s="1913" t="s">
        <v>91</v>
      </c>
      <c r="B142" s="2444" t="s">
        <v>69</v>
      </c>
      <c r="C142" s="1907" t="s">
        <v>9</v>
      </c>
      <c r="D142" s="203" t="s">
        <v>92</v>
      </c>
      <c r="E142" s="204"/>
      <c r="F142" s="204"/>
      <c r="G142" s="204"/>
      <c r="H142" s="204"/>
      <c r="I142" s="205"/>
      <c r="J142" s="1895" t="s">
        <v>93</v>
      </c>
      <c r="K142" s="1896"/>
      <c r="L142" s="1896"/>
      <c r="M142" s="1896"/>
      <c r="N142" s="1897"/>
      <c r="O142" s="165"/>
      <c r="P142" s="165"/>
    </row>
    <row r="143" spans="1:18" ht="127.5" customHeight="1">
      <c r="A143" s="1914"/>
      <c r="B143" s="2445"/>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8">
      <c r="A144" s="2447" t="s">
        <v>104</v>
      </c>
      <c r="B144" s="1984"/>
      <c r="C144" s="106">
        <v>2014</v>
      </c>
      <c r="D144" s="30"/>
      <c r="E144" s="30"/>
      <c r="F144" s="31"/>
      <c r="G144" s="175"/>
      <c r="H144" s="175"/>
      <c r="I144" s="213">
        <f>D144+F144+G144+H144</f>
        <v>0</v>
      </c>
      <c r="J144" s="214"/>
      <c r="K144" s="215"/>
      <c r="L144" s="214"/>
      <c r="M144" s="215"/>
      <c r="N144" s="216"/>
      <c r="O144" s="165"/>
      <c r="P144" s="165"/>
    </row>
    <row r="145" spans="1:16">
      <c r="A145" s="2440"/>
      <c r="B145" s="1984"/>
      <c r="C145" s="110">
        <v>2015</v>
      </c>
      <c r="D145" s="37"/>
      <c r="E145" s="37"/>
      <c r="F145" s="38"/>
      <c r="G145" s="178"/>
      <c r="H145" s="178"/>
      <c r="I145" s="213">
        <f t="shared" ref="I145:I150" si="11">D145+F145+G145+H145</f>
        <v>0</v>
      </c>
      <c r="J145" s="217"/>
      <c r="K145" s="218"/>
      <c r="L145" s="217"/>
      <c r="M145" s="218"/>
      <c r="N145" s="219"/>
      <c r="O145" s="165"/>
      <c r="P145" s="165"/>
    </row>
    <row r="146" spans="1:16">
      <c r="A146" s="2440"/>
      <c r="B146" s="1984"/>
      <c r="C146" s="110">
        <v>2016</v>
      </c>
      <c r="D146" s="37"/>
      <c r="E146" s="37"/>
      <c r="F146" s="38"/>
      <c r="G146" s="178"/>
      <c r="H146" s="178"/>
      <c r="I146" s="213">
        <f t="shared" si="11"/>
        <v>0</v>
      </c>
      <c r="J146" s="217"/>
      <c r="K146" s="218"/>
      <c r="L146" s="217"/>
      <c r="M146" s="218"/>
      <c r="N146" s="219"/>
      <c r="O146" s="165"/>
      <c r="P146" s="165"/>
    </row>
    <row r="147" spans="1:16">
      <c r="A147" s="2440"/>
      <c r="B147" s="1984"/>
      <c r="C147" s="110">
        <v>2017</v>
      </c>
      <c r="D147" s="37"/>
      <c r="E147" s="37"/>
      <c r="F147" s="38"/>
      <c r="G147" s="178"/>
      <c r="H147" s="178"/>
      <c r="I147" s="213">
        <f t="shared" si="11"/>
        <v>0</v>
      </c>
      <c r="J147" s="217"/>
      <c r="K147" s="218"/>
      <c r="L147" s="217"/>
      <c r="M147" s="218"/>
      <c r="N147" s="219"/>
      <c r="O147" s="165"/>
      <c r="P147" s="165"/>
    </row>
    <row r="148" spans="1:16">
      <c r="A148" s="2440"/>
      <c r="B148" s="1984"/>
      <c r="C148" s="110">
        <v>2018</v>
      </c>
      <c r="D148" s="37"/>
      <c r="E148" s="37"/>
      <c r="F148" s="38"/>
      <c r="G148" s="178"/>
      <c r="H148" s="178"/>
      <c r="I148" s="213">
        <f t="shared" si="11"/>
        <v>0</v>
      </c>
      <c r="J148" s="217"/>
      <c r="K148" s="218"/>
      <c r="L148" s="217"/>
      <c r="M148" s="218"/>
      <c r="N148" s="219"/>
      <c r="O148" s="165"/>
      <c r="P148" s="165"/>
    </row>
    <row r="149" spans="1:16">
      <c r="A149" s="2440"/>
      <c r="B149" s="1984"/>
      <c r="C149" s="110">
        <v>2019</v>
      </c>
      <c r="D149" s="37"/>
      <c r="E149" s="37"/>
      <c r="F149" s="38"/>
      <c r="G149" s="178"/>
      <c r="H149" s="178"/>
      <c r="I149" s="213">
        <f t="shared" si="11"/>
        <v>0</v>
      </c>
      <c r="J149" s="217"/>
      <c r="K149" s="218"/>
      <c r="L149" s="217"/>
      <c r="M149" s="218"/>
      <c r="N149" s="219"/>
      <c r="O149" s="165"/>
      <c r="P149" s="165"/>
    </row>
    <row r="150" spans="1:16">
      <c r="A150" s="2440"/>
      <c r="B150" s="1984"/>
      <c r="C150" s="110">
        <v>2020</v>
      </c>
      <c r="D150" s="37"/>
      <c r="E150" s="37"/>
      <c r="F150" s="38"/>
      <c r="G150" s="178"/>
      <c r="H150" s="178"/>
      <c r="I150" s="213">
        <f t="shared" si="11"/>
        <v>0</v>
      </c>
      <c r="J150" s="217"/>
      <c r="K150" s="218"/>
      <c r="L150" s="217"/>
      <c r="M150" s="218"/>
      <c r="N150" s="219"/>
      <c r="O150" s="165"/>
      <c r="P150" s="165"/>
    </row>
    <row r="151" spans="1:16" ht="124.5" customHeight="1" thickBot="1">
      <c r="A151" s="1893"/>
      <c r="B151" s="1985"/>
      <c r="C151" s="113" t="s">
        <v>13</v>
      </c>
      <c r="D151" s="139">
        <f t="shared" ref="D151:N151" si="12">SUM(D144:D150)</f>
        <v>0</v>
      </c>
      <c r="E151" s="139">
        <f t="shared" si="12"/>
        <v>0</v>
      </c>
      <c r="F151" s="139">
        <f t="shared" si="12"/>
        <v>0</v>
      </c>
      <c r="G151" s="139">
        <f t="shared" si="12"/>
        <v>0</v>
      </c>
      <c r="H151" s="139">
        <f t="shared" si="12"/>
        <v>0</v>
      </c>
      <c r="I151" s="220">
        <f t="shared" si="12"/>
        <v>0</v>
      </c>
      <c r="J151" s="221">
        <f t="shared" si="12"/>
        <v>0</v>
      </c>
      <c r="K151" s="222">
        <f t="shared" si="12"/>
        <v>0</v>
      </c>
      <c r="L151" s="221">
        <f t="shared" si="12"/>
        <v>0</v>
      </c>
      <c r="M151" s="222">
        <f t="shared" si="12"/>
        <v>0</v>
      </c>
      <c r="N151" s="223">
        <f t="shared" si="12"/>
        <v>0</v>
      </c>
      <c r="O151" s="165"/>
      <c r="P151" s="165"/>
    </row>
    <row r="152" spans="1:16" ht="15.75" thickBot="1">
      <c r="B152" s="224"/>
      <c r="O152" s="165"/>
      <c r="P152" s="165"/>
    </row>
    <row r="153" spans="1:16" ht="26.25">
      <c r="A153" s="1901" t="s">
        <v>105</v>
      </c>
      <c r="B153" s="2444" t="s">
        <v>69</v>
      </c>
      <c r="C153" s="1905" t="s">
        <v>9</v>
      </c>
      <c r="D153" s="225" t="s">
        <v>106</v>
      </c>
      <c r="E153" s="225"/>
      <c r="F153" s="226"/>
      <c r="G153" s="226"/>
      <c r="H153" s="225" t="s">
        <v>107</v>
      </c>
      <c r="I153" s="225"/>
      <c r="J153" s="227"/>
      <c r="K153" s="56"/>
      <c r="L153" s="56"/>
      <c r="M153" s="56"/>
      <c r="N153" s="56"/>
      <c r="O153" s="165"/>
      <c r="P153" s="165"/>
    </row>
    <row r="154" spans="1:16" ht="63.75" customHeight="1">
      <c r="A154" s="2446"/>
      <c r="B154" s="2445"/>
      <c r="C154" s="1906"/>
      <c r="D154" s="228" t="s">
        <v>108</v>
      </c>
      <c r="E154" s="229" t="s">
        <v>109</v>
      </c>
      <c r="F154" s="230" t="s">
        <v>110</v>
      </c>
      <c r="G154" s="231" t="s">
        <v>111</v>
      </c>
      <c r="H154" s="228" t="s">
        <v>112</v>
      </c>
      <c r="I154" s="229" t="s">
        <v>113</v>
      </c>
      <c r="J154" s="232" t="s">
        <v>103</v>
      </c>
      <c r="K154" s="56"/>
      <c r="L154" s="56"/>
      <c r="M154" s="56"/>
      <c r="N154" s="56"/>
      <c r="O154" s="165"/>
      <c r="P154" s="165"/>
    </row>
    <row r="155" spans="1:16">
      <c r="A155" s="2447" t="s">
        <v>114</v>
      </c>
      <c r="B155" s="1984"/>
      <c r="C155" s="233">
        <v>2014</v>
      </c>
      <c r="D155" s="214"/>
      <c r="E155" s="175"/>
      <c r="F155" s="215"/>
      <c r="G155" s="213">
        <f>SUM(D155:F155)</f>
        <v>0</v>
      </c>
      <c r="H155" s="214"/>
      <c r="I155" s="175"/>
      <c r="J155" s="176"/>
      <c r="O155" s="165"/>
      <c r="P155" s="165"/>
    </row>
    <row r="156" spans="1:16">
      <c r="A156" s="2440"/>
      <c r="B156" s="1984"/>
      <c r="C156" s="234">
        <v>2015</v>
      </c>
      <c r="D156" s="217"/>
      <c r="E156" s="178"/>
      <c r="F156" s="218"/>
      <c r="G156" s="213">
        <f t="shared" ref="G156:G161" si="13">SUM(D156:F156)</f>
        <v>0</v>
      </c>
      <c r="H156" s="217"/>
      <c r="I156" s="178"/>
      <c r="J156" s="179"/>
      <c r="O156" s="165"/>
      <c r="P156" s="165"/>
    </row>
    <row r="157" spans="1:16">
      <c r="A157" s="2440"/>
      <c r="B157" s="1984"/>
      <c r="C157" s="234">
        <v>2016</v>
      </c>
      <c r="D157" s="217"/>
      <c r="E157" s="178"/>
      <c r="F157" s="218"/>
      <c r="G157" s="213">
        <f t="shared" si="13"/>
        <v>0</v>
      </c>
      <c r="H157" s="217"/>
      <c r="I157" s="178"/>
      <c r="J157" s="179"/>
      <c r="O157" s="165"/>
      <c r="P157" s="165"/>
    </row>
    <row r="158" spans="1:16">
      <c r="A158" s="2440"/>
      <c r="B158" s="1984"/>
      <c r="C158" s="234">
        <v>2017</v>
      </c>
      <c r="D158" s="217"/>
      <c r="E158" s="178"/>
      <c r="F158" s="218"/>
      <c r="G158" s="213">
        <f t="shared" si="13"/>
        <v>0</v>
      </c>
      <c r="H158" s="217"/>
      <c r="I158" s="178"/>
      <c r="J158" s="179"/>
      <c r="O158" s="165"/>
      <c r="P158" s="165"/>
    </row>
    <row r="159" spans="1:16">
      <c r="A159" s="2440"/>
      <c r="B159" s="1984"/>
      <c r="C159" s="234">
        <v>2018</v>
      </c>
      <c r="D159" s="217"/>
      <c r="E159" s="178"/>
      <c r="F159" s="218"/>
      <c r="G159" s="213">
        <f t="shared" si="13"/>
        <v>0</v>
      </c>
      <c r="H159" s="217"/>
      <c r="I159" s="178"/>
      <c r="J159" s="179"/>
      <c r="O159" s="165"/>
      <c r="P159" s="165"/>
    </row>
    <row r="160" spans="1:16">
      <c r="A160" s="2440"/>
      <c r="B160" s="1984"/>
      <c r="C160" s="234">
        <v>2019</v>
      </c>
      <c r="D160" s="217"/>
      <c r="E160" s="178"/>
      <c r="F160" s="218"/>
      <c r="G160" s="213">
        <f t="shared" si="13"/>
        <v>0</v>
      </c>
      <c r="H160" s="217"/>
      <c r="I160" s="178"/>
      <c r="J160" s="179"/>
      <c r="O160" s="165"/>
      <c r="P160" s="165"/>
    </row>
    <row r="161" spans="1:18">
      <c r="A161" s="2440"/>
      <c r="B161" s="1984"/>
      <c r="C161" s="234">
        <v>2020</v>
      </c>
      <c r="D161" s="217"/>
      <c r="E161" s="178"/>
      <c r="F161" s="218"/>
      <c r="G161" s="213">
        <f t="shared" si="13"/>
        <v>0</v>
      </c>
      <c r="H161" s="217"/>
      <c r="I161" s="178"/>
      <c r="J161" s="179"/>
      <c r="O161" s="165"/>
      <c r="P161" s="165"/>
    </row>
    <row r="162" spans="1:18" ht="15.75" thickBot="1">
      <c r="A162" s="1893"/>
      <c r="B162" s="1985"/>
      <c r="C162" s="235" t="s">
        <v>13</v>
      </c>
      <c r="D162" s="221">
        <f t="shared" ref="D162:J162" si="14">SUM(D155:D161)</f>
        <v>0</v>
      </c>
      <c r="E162" s="181">
        <f t="shared" si="14"/>
        <v>0</v>
      </c>
      <c r="F162" s="222">
        <f t="shared" si="14"/>
        <v>0</v>
      </c>
      <c r="G162" s="222">
        <f t="shared" si="14"/>
        <v>0</v>
      </c>
      <c r="H162" s="221">
        <f t="shared" si="14"/>
        <v>0</v>
      </c>
      <c r="I162" s="181">
        <f t="shared" si="14"/>
        <v>0</v>
      </c>
      <c r="J162" s="236">
        <f t="shared" si="14"/>
        <v>0</v>
      </c>
    </row>
    <row r="163" spans="1:18" ht="15.75" thickBot="1">
      <c r="A163" s="237"/>
      <c r="B163" s="238"/>
      <c r="C163" s="239"/>
      <c r="D163" s="165"/>
      <c r="E163" s="240"/>
      <c r="F163" s="165"/>
      <c r="G163" s="165"/>
      <c r="H163" s="165"/>
      <c r="I163" s="165"/>
      <c r="J163" s="241"/>
      <c r="K163" s="242"/>
    </row>
    <row r="164" spans="1:18" ht="120" customHeight="1">
      <c r="A164" s="243" t="s">
        <v>115</v>
      </c>
      <c r="B164" s="244" t="s">
        <v>116</v>
      </c>
      <c r="C164" s="245" t="s">
        <v>9</v>
      </c>
      <c r="D164" s="246" t="s">
        <v>117</v>
      </c>
      <c r="E164" s="246" t="s">
        <v>118</v>
      </c>
      <c r="F164" s="247" t="s">
        <v>119</v>
      </c>
      <c r="G164" s="246" t="s">
        <v>120</v>
      </c>
      <c r="H164" s="246" t="s">
        <v>121</v>
      </c>
      <c r="I164" s="248" t="s">
        <v>122</v>
      </c>
      <c r="J164" s="249" t="s">
        <v>123</v>
      </c>
      <c r="K164" s="249" t="s">
        <v>124</v>
      </c>
      <c r="L164" s="250"/>
    </row>
    <row r="165" spans="1:18">
      <c r="A165" s="2441" t="s">
        <v>125</v>
      </c>
      <c r="B165" s="1986"/>
      <c r="C165" s="251">
        <v>2014</v>
      </c>
      <c r="D165" s="175"/>
      <c r="E165" s="175"/>
      <c r="F165" s="175"/>
      <c r="G165" s="175"/>
      <c r="H165" s="175"/>
      <c r="I165" s="176"/>
      <c r="J165" s="252">
        <v>0</v>
      </c>
      <c r="K165" s="253">
        <v>0</v>
      </c>
      <c r="L165" s="250"/>
    </row>
    <row r="166" spans="1:18">
      <c r="A166" s="2442"/>
      <c r="B166" s="1984"/>
      <c r="C166" s="254">
        <v>2015</v>
      </c>
      <c r="D166" s="255"/>
      <c r="E166" s="255"/>
      <c r="F166" s="255"/>
      <c r="G166" s="255"/>
      <c r="H166" s="255"/>
      <c r="I166" s="256"/>
      <c r="J166" s="257">
        <v>0</v>
      </c>
      <c r="K166" s="258">
        <v>0</v>
      </c>
      <c r="L166" s="250"/>
    </row>
    <row r="167" spans="1:18">
      <c r="A167" s="2442"/>
      <c r="B167" s="1984"/>
      <c r="C167" s="254">
        <v>2016</v>
      </c>
      <c r="D167" s="255"/>
      <c r="E167" s="255"/>
      <c r="F167" s="255"/>
      <c r="G167" s="255"/>
      <c r="H167" s="255"/>
      <c r="I167" s="256"/>
      <c r="J167" s="259">
        <v>0</v>
      </c>
      <c r="K167" s="260">
        <v>0</v>
      </c>
    </row>
    <row r="168" spans="1:18">
      <c r="A168" s="2442"/>
      <c r="B168" s="1984"/>
      <c r="C168" s="254">
        <v>2017</v>
      </c>
      <c r="D168" s="255"/>
      <c r="E168" s="165"/>
      <c r="F168" s="255"/>
      <c r="G168" s="255"/>
      <c r="H168" s="255"/>
      <c r="I168" s="256"/>
      <c r="J168" s="261">
        <v>0</v>
      </c>
      <c r="K168" s="260">
        <v>0</v>
      </c>
    </row>
    <row r="169" spans="1:18">
      <c r="A169" s="2442"/>
      <c r="B169" s="1984"/>
      <c r="C169" s="262">
        <v>2018</v>
      </c>
      <c r="D169" s="255"/>
      <c r="E169" s="255"/>
      <c r="F169" s="255"/>
      <c r="G169" s="263"/>
      <c r="H169" s="255"/>
      <c r="I169" s="256"/>
      <c r="J169" s="261">
        <v>0</v>
      </c>
      <c r="K169" s="260">
        <v>0</v>
      </c>
      <c r="L169" s="250"/>
    </row>
    <row r="170" spans="1:18">
      <c r="A170" s="2442"/>
      <c r="B170" s="1984"/>
      <c r="C170" s="254">
        <v>2019</v>
      </c>
      <c r="D170" s="165"/>
      <c r="E170" s="255"/>
      <c r="F170" s="255"/>
      <c r="G170" s="255"/>
      <c r="H170" s="263"/>
      <c r="I170" s="256"/>
      <c r="J170" s="257">
        <v>0</v>
      </c>
      <c r="K170" s="264">
        <v>0</v>
      </c>
      <c r="L170" s="250"/>
    </row>
    <row r="171" spans="1:18">
      <c r="A171" s="2442"/>
      <c r="B171" s="1984"/>
      <c r="C171" s="262">
        <v>2020</v>
      </c>
      <c r="D171" s="255"/>
      <c r="E171" s="255"/>
      <c r="F171" s="255"/>
      <c r="G171" s="255"/>
      <c r="H171" s="255"/>
      <c r="I171" s="256"/>
      <c r="J171" s="259">
        <v>0</v>
      </c>
      <c r="K171" s="264">
        <v>0</v>
      </c>
      <c r="L171" s="250"/>
    </row>
    <row r="172" spans="1:18" ht="15.75" thickBot="1">
      <c r="A172" s="2443"/>
      <c r="B172" s="1985"/>
      <c r="C172" s="265" t="s">
        <v>13</v>
      </c>
      <c r="D172" s="181"/>
      <c r="E172" s="181">
        <v>0</v>
      </c>
      <c r="F172" s="181"/>
      <c r="G172" s="266">
        <v>0</v>
      </c>
      <c r="H172" s="181"/>
      <c r="I172" s="182">
        <v>0</v>
      </c>
      <c r="J172" s="267">
        <v>0</v>
      </c>
      <c r="K172" s="268">
        <v>0</v>
      </c>
      <c r="L172" s="250"/>
    </row>
    <row r="173" spans="1:18">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ht="15.75" thickBot="1">
      <c r="A176" s="1884" t="s">
        <v>127</v>
      </c>
      <c r="B176" s="2438" t="s">
        <v>48</v>
      </c>
      <c r="C176" s="1886" t="s">
        <v>9</v>
      </c>
      <c r="D176" s="273" t="s">
        <v>128</v>
      </c>
      <c r="E176" s="274"/>
      <c r="F176" s="274"/>
      <c r="G176" s="275"/>
      <c r="H176" s="276"/>
      <c r="I176" s="1888" t="s">
        <v>129</v>
      </c>
      <c r="J176" s="1889"/>
      <c r="K176" s="1889"/>
      <c r="L176" s="1889"/>
      <c r="M176" s="1889"/>
      <c r="N176" s="1889"/>
      <c r="O176" s="1890"/>
      <c r="P176" s="56"/>
      <c r="Q176" s="56"/>
      <c r="R176" s="56"/>
    </row>
    <row r="177" spans="1:19" ht="135" customHeight="1">
      <c r="A177" s="1885"/>
      <c r="B177" s="2439"/>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c r="P177" s="56"/>
      <c r="Q177" s="56"/>
      <c r="R177" s="56"/>
    </row>
    <row r="178" spans="1:19">
      <c r="A178" s="2440" t="s">
        <v>135</v>
      </c>
      <c r="B178" s="1984"/>
      <c r="C178" s="106">
        <v>2014</v>
      </c>
      <c r="D178" s="30"/>
      <c r="E178" s="31"/>
      <c r="F178" s="31"/>
      <c r="G178" s="284">
        <f t="shared" ref="G178:G184" si="15">SUM(D178:E178)</f>
        <v>0</v>
      </c>
      <c r="H178" s="132"/>
      <c r="I178" s="155"/>
      <c r="J178" s="31"/>
      <c r="K178" s="31"/>
      <c r="L178" s="31"/>
      <c r="M178" s="31"/>
      <c r="N178" s="31"/>
      <c r="O178" s="34"/>
    </row>
    <row r="179" spans="1:19">
      <c r="A179" s="2440"/>
      <c r="B179" s="1984"/>
      <c r="C179" s="110">
        <v>2015</v>
      </c>
      <c r="D179" s="37"/>
      <c r="E179" s="38"/>
      <c r="F179" s="38"/>
      <c r="G179" s="284">
        <f t="shared" si="15"/>
        <v>0</v>
      </c>
      <c r="H179" s="132"/>
      <c r="I179" s="112"/>
      <c r="J179" s="38"/>
      <c r="K179" s="38"/>
      <c r="L179" s="38"/>
      <c r="M179" s="38"/>
      <c r="N179" s="38"/>
      <c r="O179" s="88"/>
    </row>
    <row r="180" spans="1:19" ht="15" customHeight="1">
      <c r="A180" s="2440"/>
      <c r="B180" s="1984"/>
      <c r="C180" s="110">
        <v>2016</v>
      </c>
      <c r="D180" s="37">
        <v>604</v>
      </c>
      <c r="E180" s="38"/>
      <c r="F180" s="38"/>
      <c r="G180" s="284">
        <f t="shared" si="15"/>
        <v>604</v>
      </c>
      <c r="H180" s="132">
        <v>604</v>
      </c>
      <c r="I180" s="112"/>
      <c r="J180" s="38"/>
      <c r="K180" s="38"/>
      <c r="L180" s="38"/>
      <c r="M180" s="38"/>
      <c r="N180" s="38"/>
      <c r="O180" s="88">
        <v>604</v>
      </c>
      <c r="P180" s="2436" t="s">
        <v>136</v>
      </c>
      <c r="Q180" s="2437"/>
      <c r="R180" s="2437"/>
      <c r="S180" s="2437"/>
    </row>
    <row r="181" spans="1:19">
      <c r="A181" s="2440"/>
      <c r="B181" s="1984"/>
      <c r="C181" s="110">
        <v>2017</v>
      </c>
      <c r="D181" s="37">
        <v>228</v>
      </c>
      <c r="E181" s="38"/>
      <c r="F181" s="38"/>
      <c r="G181" s="284">
        <f t="shared" si="15"/>
        <v>228</v>
      </c>
      <c r="H181" s="132">
        <v>228</v>
      </c>
      <c r="I181" s="112"/>
      <c r="J181" s="38"/>
      <c r="K181" s="38"/>
      <c r="L181" s="38"/>
      <c r="M181" s="38"/>
      <c r="N181" s="38"/>
      <c r="O181" s="88">
        <v>228</v>
      </c>
      <c r="P181" s="2436"/>
      <c r="Q181" s="2437"/>
      <c r="R181" s="2437"/>
      <c r="S181" s="2437"/>
    </row>
    <row r="182" spans="1:19">
      <c r="A182" s="2440"/>
      <c r="B182" s="1984"/>
      <c r="C182" s="110">
        <v>2018</v>
      </c>
      <c r="D182" s="37"/>
      <c r="E182" s="38"/>
      <c r="F182" s="38"/>
      <c r="G182" s="284">
        <f t="shared" si="15"/>
        <v>0</v>
      </c>
      <c r="H182" s="132"/>
      <c r="I182" s="112"/>
      <c r="J182" s="38"/>
      <c r="K182" s="38"/>
      <c r="L182" s="38"/>
      <c r="M182" s="38"/>
      <c r="N182" s="38"/>
      <c r="O182" s="88"/>
      <c r="P182" s="2436"/>
      <c r="Q182" s="2437"/>
      <c r="R182" s="2437"/>
      <c r="S182" s="2437"/>
    </row>
    <row r="183" spans="1:19">
      <c r="A183" s="2440"/>
      <c r="B183" s="1984"/>
      <c r="C183" s="110">
        <v>2019</v>
      </c>
      <c r="D183" s="37"/>
      <c r="E183" s="38"/>
      <c r="F183" s="38"/>
      <c r="G183" s="284">
        <f t="shared" si="15"/>
        <v>0</v>
      </c>
      <c r="H183" s="132"/>
      <c r="I183" s="112"/>
      <c r="J183" s="38"/>
      <c r="K183" s="38"/>
      <c r="L183" s="38"/>
      <c r="M183" s="38"/>
      <c r="N183" s="38"/>
      <c r="O183" s="88"/>
    </row>
    <row r="184" spans="1:19">
      <c r="A184" s="2440"/>
      <c r="B184" s="1984"/>
      <c r="C184" s="110">
        <v>2020</v>
      </c>
      <c r="D184" s="37"/>
      <c r="E184" s="38"/>
      <c r="F184" s="38"/>
      <c r="G184" s="284">
        <f t="shared" si="15"/>
        <v>0</v>
      </c>
      <c r="H184" s="132"/>
      <c r="I184" s="112"/>
      <c r="J184" s="38"/>
      <c r="K184" s="38"/>
      <c r="L184" s="38"/>
      <c r="M184" s="38"/>
      <c r="N184" s="38"/>
      <c r="O184" s="88"/>
    </row>
    <row r="185" spans="1:19" ht="87.75" customHeight="1" thickBot="1">
      <c r="A185" s="1893"/>
      <c r="B185" s="1985"/>
      <c r="C185" s="113" t="s">
        <v>13</v>
      </c>
      <c r="D185" s="139">
        <f>SUM(D178:D184)</f>
        <v>832</v>
      </c>
      <c r="E185" s="116">
        <f>SUM(E178:E184)</f>
        <v>0</v>
      </c>
      <c r="F185" s="116">
        <f>SUM(F178:F184)</f>
        <v>0</v>
      </c>
      <c r="G185" s="220">
        <f t="shared" ref="G185:O185" si="16">SUM(G178:G184)</f>
        <v>832</v>
      </c>
      <c r="H185" s="285">
        <f t="shared" si="16"/>
        <v>832</v>
      </c>
      <c r="I185" s="115">
        <f t="shared" si="16"/>
        <v>0</v>
      </c>
      <c r="J185" s="116">
        <f t="shared" si="16"/>
        <v>0</v>
      </c>
      <c r="K185" s="116">
        <f t="shared" si="16"/>
        <v>0</v>
      </c>
      <c r="L185" s="116">
        <f t="shared" si="16"/>
        <v>0</v>
      </c>
      <c r="M185" s="116">
        <f t="shared" si="16"/>
        <v>0</v>
      </c>
      <c r="N185" s="116">
        <f t="shared" si="16"/>
        <v>0</v>
      </c>
      <c r="O185" s="117">
        <f t="shared" si="16"/>
        <v>832</v>
      </c>
    </row>
    <row r="186" spans="1:19" ht="15.75" thickBot="1"/>
    <row r="187" spans="1:19">
      <c r="A187" s="1861" t="s">
        <v>137</v>
      </c>
      <c r="B187" s="2438" t="s">
        <v>48</v>
      </c>
      <c r="C187" s="1865" t="s">
        <v>9</v>
      </c>
      <c r="D187" s="1867" t="s">
        <v>138</v>
      </c>
      <c r="E187" s="1868"/>
      <c r="F187" s="1868"/>
      <c r="G187" s="1869"/>
      <c r="H187" s="1870" t="s">
        <v>139</v>
      </c>
      <c r="I187" s="1865"/>
      <c r="J187" s="1865"/>
      <c r="K187" s="1865"/>
      <c r="L187" s="1871"/>
    </row>
    <row r="188" spans="1:19" ht="123.75" customHeight="1">
      <c r="A188" s="1862"/>
      <c r="B188" s="2439"/>
      <c r="C188" s="1866"/>
      <c r="D188" s="286" t="s">
        <v>140</v>
      </c>
      <c r="E188" s="286" t="s">
        <v>141</v>
      </c>
      <c r="F188" s="286" t="s">
        <v>142</v>
      </c>
      <c r="G188" s="287" t="s">
        <v>13</v>
      </c>
      <c r="H188" s="288" t="s">
        <v>143</v>
      </c>
      <c r="I188" s="286" t="s">
        <v>144</v>
      </c>
      <c r="J188" s="286" t="s">
        <v>145</v>
      </c>
      <c r="K188" s="286" t="s">
        <v>146</v>
      </c>
      <c r="L188" s="289" t="s">
        <v>147</v>
      </c>
    </row>
    <row r="189" spans="1:19">
      <c r="A189" s="2434" t="s">
        <v>148</v>
      </c>
      <c r="B189" s="1974"/>
      <c r="C189" s="290">
        <v>2014</v>
      </c>
      <c r="D189" s="133"/>
      <c r="E189" s="109"/>
      <c r="F189" s="109"/>
      <c r="G189" s="291">
        <f>SUM(D189:F189)</f>
        <v>0</v>
      </c>
      <c r="H189" s="108"/>
      <c r="I189" s="109"/>
      <c r="J189" s="109"/>
      <c r="K189" s="109"/>
      <c r="L189" s="134"/>
    </row>
    <row r="190" spans="1:19">
      <c r="A190" s="2434"/>
      <c r="B190" s="1974"/>
      <c r="C190" s="73">
        <v>2015</v>
      </c>
      <c r="D190" s="37"/>
      <c r="E190" s="38"/>
      <c r="F190" s="38"/>
      <c r="G190" s="291">
        <f t="shared" ref="G190:G195" si="17">SUM(D190:F190)</f>
        <v>0</v>
      </c>
      <c r="H190" s="112"/>
      <c r="I190" s="38"/>
      <c r="J190" s="38"/>
      <c r="K190" s="38"/>
      <c r="L190" s="88"/>
    </row>
    <row r="191" spans="1:19">
      <c r="A191" s="2434"/>
      <c r="B191" s="1974"/>
      <c r="C191" s="73">
        <v>2016</v>
      </c>
      <c r="D191" s="37">
        <v>17902</v>
      </c>
      <c r="E191" s="38"/>
      <c r="F191" s="38"/>
      <c r="G191" s="291">
        <f t="shared" si="17"/>
        <v>17902</v>
      </c>
      <c r="H191" s="112"/>
      <c r="I191" s="38"/>
      <c r="J191" s="38">
        <v>6000</v>
      </c>
      <c r="K191" s="38"/>
      <c r="L191" s="88">
        <f>G191-J191</f>
        <v>11902</v>
      </c>
    </row>
    <row r="192" spans="1:19">
      <c r="A192" s="2434"/>
      <c r="B192" s="1974"/>
      <c r="C192" s="73">
        <v>2017</v>
      </c>
      <c r="D192" s="37">
        <v>8204</v>
      </c>
      <c r="E192" s="38"/>
      <c r="F192" s="38"/>
      <c r="G192" s="291">
        <f t="shared" si="17"/>
        <v>8204</v>
      </c>
      <c r="H192" s="112"/>
      <c r="I192" s="38"/>
      <c r="J192" s="38">
        <v>4100</v>
      </c>
      <c r="K192" s="38"/>
      <c r="L192" s="88">
        <f>G192-J192</f>
        <v>4104</v>
      </c>
    </row>
    <row r="193" spans="1:18">
      <c r="A193" s="2434"/>
      <c r="B193" s="1974"/>
      <c r="C193" s="73">
        <v>2018</v>
      </c>
      <c r="D193" s="37"/>
      <c r="E193" s="38"/>
      <c r="F193" s="38"/>
      <c r="G193" s="291">
        <f t="shared" si="17"/>
        <v>0</v>
      </c>
      <c r="H193" s="112"/>
      <c r="I193" s="38"/>
      <c r="J193" s="38"/>
      <c r="K193" s="38"/>
      <c r="L193" s="88"/>
    </row>
    <row r="194" spans="1:18">
      <c r="A194" s="2434"/>
      <c r="B194" s="1974"/>
      <c r="C194" s="73">
        <v>2019</v>
      </c>
      <c r="D194" s="37"/>
      <c r="E194" s="38"/>
      <c r="F194" s="38"/>
      <c r="G194" s="291">
        <f t="shared" si="17"/>
        <v>0</v>
      </c>
      <c r="H194" s="112"/>
      <c r="I194" s="38"/>
      <c r="J194" s="38"/>
      <c r="K194" s="38"/>
      <c r="L194" s="88"/>
    </row>
    <row r="195" spans="1:18">
      <c r="A195" s="2434"/>
      <c r="B195" s="1974"/>
      <c r="C195" s="73">
        <v>2020</v>
      </c>
      <c r="D195" s="37"/>
      <c r="E195" s="38"/>
      <c r="F195" s="38"/>
      <c r="G195" s="291">
        <f t="shared" si="17"/>
        <v>0</v>
      </c>
      <c r="H195" s="112"/>
      <c r="I195" s="38"/>
      <c r="J195" s="38"/>
      <c r="K195" s="38"/>
      <c r="L195" s="88"/>
    </row>
    <row r="196" spans="1:18" ht="15.75" thickBot="1">
      <c r="A196" s="1979"/>
      <c r="B196" s="1975"/>
      <c r="C196" s="136" t="s">
        <v>13</v>
      </c>
      <c r="D196" s="139">
        <f t="shared" ref="D196:L196" si="18">SUM(D189:D195)</f>
        <v>26106</v>
      </c>
      <c r="E196" s="116">
        <f t="shared" si="18"/>
        <v>0</v>
      </c>
      <c r="F196" s="116">
        <f t="shared" si="18"/>
        <v>0</v>
      </c>
      <c r="G196" s="292">
        <f t="shared" si="18"/>
        <v>26106</v>
      </c>
      <c r="H196" s="115">
        <f t="shared" si="18"/>
        <v>0</v>
      </c>
      <c r="I196" s="116">
        <f t="shared" si="18"/>
        <v>0</v>
      </c>
      <c r="J196" s="116">
        <f t="shared" si="18"/>
        <v>10100</v>
      </c>
      <c r="K196" s="116">
        <f t="shared" si="18"/>
        <v>0</v>
      </c>
      <c r="L196" s="117">
        <f t="shared" si="18"/>
        <v>16006</v>
      </c>
    </row>
    <row r="199" spans="1:18" ht="21">
      <c r="A199" s="293" t="s">
        <v>149</v>
      </c>
      <c r="B199" s="293"/>
      <c r="C199" s="294"/>
      <c r="D199" s="294"/>
      <c r="E199" s="294"/>
      <c r="F199" s="294"/>
      <c r="G199" s="294"/>
      <c r="H199" s="294"/>
      <c r="I199" s="294"/>
      <c r="J199" s="294"/>
      <c r="K199" s="294"/>
      <c r="L199" s="294"/>
      <c r="M199" s="65"/>
      <c r="N199" s="65"/>
    </row>
    <row r="200" spans="1:18" ht="15.75" thickBot="1">
      <c r="A200" s="295"/>
      <c r="B200" s="295"/>
      <c r="C200" s="294"/>
      <c r="D200" s="294"/>
      <c r="E200" s="294"/>
      <c r="F200" s="294"/>
      <c r="G200" s="294"/>
      <c r="H200" s="294"/>
      <c r="I200" s="294"/>
      <c r="J200" s="294"/>
      <c r="K200" s="294"/>
      <c r="L200" s="294"/>
    </row>
    <row r="201" spans="1:18" ht="154.5" customHeight="1">
      <c r="A201" s="296" t="s">
        <v>150</v>
      </c>
      <c r="B201" s="297" t="s">
        <v>48</v>
      </c>
      <c r="C201" s="298" t="s">
        <v>9</v>
      </c>
      <c r="D201" s="299" t="s">
        <v>151</v>
      </c>
      <c r="E201" s="300" t="s">
        <v>152</v>
      </c>
      <c r="F201" s="300" t="s">
        <v>153</v>
      </c>
      <c r="G201" s="298" t="s">
        <v>154</v>
      </c>
      <c r="H201" s="301" t="s">
        <v>155</v>
      </c>
      <c r="I201" s="302" t="s">
        <v>156</v>
      </c>
      <c r="J201" s="303" t="s">
        <v>157</v>
      </c>
      <c r="K201" s="300" t="s">
        <v>158</v>
      </c>
      <c r="L201" s="304" t="s">
        <v>159</v>
      </c>
      <c r="M201" s="56"/>
      <c r="N201" s="56"/>
      <c r="O201" s="56"/>
      <c r="P201" s="56"/>
      <c r="Q201" s="56"/>
      <c r="R201" s="56"/>
    </row>
    <row r="202" spans="1:18">
      <c r="A202" s="2435" t="s">
        <v>160</v>
      </c>
      <c r="B202" s="1973"/>
      <c r="C202" s="72">
        <v>2014</v>
      </c>
      <c r="D202" s="30"/>
      <c r="E202" s="31"/>
      <c r="F202" s="31"/>
      <c r="G202" s="29"/>
      <c r="H202" s="305"/>
      <c r="I202" s="306"/>
      <c r="J202" s="307"/>
      <c r="K202" s="31"/>
      <c r="L202" s="34"/>
    </row>
    <row r="203" spans="1:18">
      <c r="A203" s="2435"/>
      <c r="B203" s="1974"/>
      <c r="C203" s="73">
        <v>2015</v>
      </c>
      <c r="D203" s="37"/>
      <c r="E203" s="38"/>
      <c r="F203" s="38"/>
      <c r="G203" s="36"/>
      <c r="H203" s="308"/>
      <c r="I203" s="309"/>
      <c r="J203" s="310"/>
      <c r="K203" s="38"/>
      <c r="L203" s="88"/>
    </row>
    <row r="204" spans="1:18">
      <c r="A204" s="2435"/>
      <c r="B204" s="1974"/>
      <c r="C204" s="73">
        <v>2016</v>
      </c>
      <c r="D204" s="37"/>
      <c r="E204" s="38"/>
      <c r="F204" s="38"/>
      <c r="G204" s="36"/>
      <c r="H204" s="308"/>
      <c r="I204" s="309"/>
      <c r="J204" s="310"/>
      <c r="K204" s="38"/>
      <c r="L204" s="88"/>
    </row>
    <row r="205" spans="1:18">
      <c r="A205" s="2435"/>
      <c r="B205" s="1974"/>
      <c r="C205" s="73">
        <v>2017</v>
      </c>
      <c r="D205" s="37"/>
      <c r="E205" s="38"/>
      <c r="F205" s="38"/>
      <c r="G205" s="36"/>
      <c r="H205" s="308"/>
      <c r="I205" s="309"/>
      <c r="J205" s="310"/>
      <c r="K205" s="38"/>
      <c r="L205" s="88"/>
    </row>
    <row r="206" spans="1:18">
      <c r="A206" s="2435"/>
      <c r="B206" s="1974"/>
      <c r="C206" s="73">
        <v>2018</v>
      </c>
      <c r="D206" s="37"/>
      <c r="E206" s="38"/>
      <c r="F206" s="38"/>
      <c r="G206" s="36"/>
      <c r="H206" s="308"/>
      <c r="I206" s="309"/>
      <c r="J206" s="310"/>
      <c r="K206" s="38"/>
      <c r="L206" s="88"/>
    </row>
    <row r="207" spans="1:18">
      <c r="A207" s="2435"/>
      <c r="B207" s="1974"/>
      <c r="C207" s="73">
        <v>2019</v>
      </c>
      <c r="D207" s="37"/>
      <c r="E207" s="38"/>
      <c r="F207" s="38"/>
      <c r="G207" s="36"/>
      <c r="H207" s="308"/>
      <c r="I207" s="309"/>
      <c r="J207" s="310"/>
      <c r="K207" s="38"/>
      <c r="L207" s="88"/>
    </row>
    <row r="208" spans="1:18">
      <c r="A208" s="2435"/>
      <c r="B208" s="1974"/>
      <c r="C208" s="73">
        <v>2020</v>
      </c>
      <c r="D208" s="311"/>
      <c r="E208" s="312"/>
      <c r="F208" s="312"/>
      <c r="G208" s="313"/>
      <c r="H208" s="314"/>
      <c r="I208" s="315"/>
      <c r="J208" s="316"/>
      <c r="K208" s="312"/>
      <c r="L208" s="317"/>
    </row>
    <row r="209" spans="1:21" ht="72" customHeight="1" thickBot="1">
      <c r="A209" s="1856"/>
      <c r="B209" s="1975"/>
      <c r="C209" s="136" t="s">
        <v>13</v>
      </c>
      <c r="D209" s="139">
        <f>SUM(D202:D207)</f>
        <v>0</v>
      </c>
      <c r="E209" s="116">
        <f>SUM(E202:E207)</f>
        <v>0</v>
      </c>
      <c r="F209" s="116"/>
      <c r="G209" s="220"/>
      <c r="H209" s="318">
        <f>SUM(H202:H207)</f>
        <v>0</v>
      </c>
      <c r="I209" s="319">
        <f>SUM(I202:I207)</f>
        <v>0</v>
      </c>
      <c r="J209" s="320"/>
      <c r="K209" s="116"/>
      <c r="L209" s="117">
        <f>SUM(L202:L207)</f>
        <v>0</v>
      </c>
    </row>
    <row r="211" spans="1:21" ht="15.75" thickBot="1"/>
    <row r="212" spans="1:21" ht="47.25" customHeight="1">
      <c r="A212" s="321" t="s">
        <v>161</v>
      </c>
      <c r="B212" s="322" t="s">
        <v>162</v>
      </c>
      <c r="C212" s="323">
        <v>2014</v>
      </c>
      <c r="D212" s="324">
        <v>2015</v>
      </c>
      <c r="E212" s="324">
        <v>2016</v>
      </c>
      <c r="F212" s="324">
        <v>2017</v>
      </c>
      <c r="G212" s="324">
        <v>2018</v>
      </c>
      <c r="H212" s="324">
        <v>2019</v>
      </c>
      <c r="I212" s="325">
        <v>2020</v>
      </c>
    </row>
    <row r="213" spans="1:21">
      <c r="A213" t="s">
        <v>163</v>
      </c>
      <c r="B213" s="1973"/>
      <c r="C213" s="72"/>
      <c r="D213" s="135"/>
      <c r="E213" s="135"/>
      <c r="F213" s="135"/>
      <c r="G213" s="135"/>
      <c r="H213" s="135"/>
      <c r="I213" s="326"/>
    </row>
    <row r="214" spans="1:21">
      <c r="A214" t="s">
        <v>164</v>
      </c>
      <c r="B214" s="1974"/>
      <c r="C214" s="72"/>
      <c r="D214" s="135"/>
      <c r="E214" s="135"/>
      <c r="F214" s="135"/>
      <c r="G214" s="135"/>
      <c r="H214" s="135"/>
      <c r="I214" s="326"/>
      <c r="U214" s="327"/>
    </row>
    <row r="215" spans="1:21">
      <c r="A215" t="s">
        <v>165</v>
      </c>
      <c r="B215" s="1974"/>
      <c r="C215" s="72"/>
      <c r="D215" s="135"/>
      <c r="E215" s="135"/>
      <c r="F215" s="135"/>
      <c r="G215" s="135"/>
      <c r="H215" s="135"/>
      <c r="I215" s="326"/>
      <c r="U215" s="327"/>
    </row>
    <row r="216" spans="1:21">
      <c r="A216" t="s">
        <v>166</v>
      </c>
      <c r="B216" s="1974"/>
      <c r="C216" s="72"/>
      <c r="D216" s="328">
        <v>304800</v>
      </c>
      <c r="E216" s="328">
        <v>299052.46999999997</v>
      </c>
      <c r="F216" s="1784">
        <v>335970</v>
      </c>
      <c r="G216" s="135"/>
      <c r="H216" s="135"/>
      <c r="I216" s="326"/>
      <c r="U216" s="327"/>
    </row>
    <row r="217" spans="1:21">
      <c r="A217" t="s">
        <v>167</v>
      </c>
      <c r="B217" s="1974"/>
      <c r="C217" s="72"/>
      <c r="D217" s="135"/>
      <c r="E217" s="135"/>
      <c r="F217" s="328"/>
      <c r="G217" s="135"/>
      <c r="H217" s="135"/>
      <c r="I217" s="326"/>
    </row>
    <row r="218" spans="1:21">
      <c r="A218" s="56" t="s">
        <v>168</v>
      </c>
      <c r="B218" s="1974"/>
      <c r="C218" s="72"/>
      <c r="D218" s="330"/>
      <c r="E218" s="330"/>
      <c r="F218" s="328"/>
      <c r="G218" s="135"/>
      <c r="H218" s="135"/>
      <c r="I218" s="326"/>
    </row>
    <row r="219" spans="1:21" ht="15.75" thickBot="1">
      <c r="A219" s="331"/>
      <c r="B219" s="1975"/>
      <c r="C219" s="42" t="s">
        <v>13</v>
      </c>
      <c r="D219" s="332">
        <f t="shared" ref="D219:I219" si="19">SUM(D214:D218)</f>
        <v>304800</v>
      </c>
      <c r="E219" s="332">
        <f t="shared" si="19"/>
        <v>299052.46999999997</v>
      </c>
      <c r="F219" s="332">
        <f t="shared" si="19"/>
        <v>335970</v>
      </c>
      <c r="G219" s="333">
        <f t="shared" si="19"/>
        <v>0</v>
      </c>
      <c r="H219" s="333">
        <f t="shared" si="19"/>
        <v>0</v>
      </c>
      <c r="I219" s="333">
        <f t="shared" si="19"/>
        <v>0</v>
      </c>
    </row>
    <row r="222" spans="1:21">
      <c r="E222" s="327"/>
      <c r="F222" s="327"/>
    </row>
    <row r="223" spans="1:21">
      <c r="E223" s="327"/>
      <c r="F223" s="327"/>
    </row>
    <row r="224" spans="1:21">
      <c r="E224" s="327"/>
      <c r="F224" s="327"/>
    </row>
    <row r="225" spans="4:6">
      <c r="F225" s="327"/>
    </row>
    <row r="226" spans="4:6">
      <c r="F226" s="327"/>
    </row>
    <row r="227" spans="4:6">
      <c r="D227" s="327"/>
    </row>
    <row r="228" spans="4:6">
      <c r="F228" s="327"/>
    </row>
    <row r="231" spans="4:6">
      <c r="E231" s="327"/>
    </row>
  </sheetData>
  <mergeCells count="73">
    <mergeCell ref="D26:G26"/>
    <mergeCell ref="F3:O3"/>
    <mergeCell ref="A4:O10"/>
    <mergeCell ref="D15:G15"/>
    <mergeCell ref="A17:A24"/>
    <mergeCell ref="B17:B24"/>
    <mergeCell ref="A28:A35"/>
    <mergeCell ref="B28:B35"/>
    <mergeCell ref="A40:A47"/>
    <mergeCell ref="B40:B47"/>
    <mergeCell ref="A50:A58"/>
    <mergeCell ref="B50:B58"/>
    <mergeCell ref="D96:E96"/>
    <mergeCell ref="A60:A61"/>
    <mergeCell ref="C60:C61"/>
    <mergeCell ref="D60:D61"/>
    <mergeCell ref="A62:A69"/>
    <mergeCell ref="B62:B69"/>
    <mergeCell ref="A72:A79"/>
    <mergeCell ref="B72:B79"/>
    <mergeCell ref="A85:A92"/>
    <mergeCell ref="B85:B92"/>
    <mergeCell ref="A96:A97"/>
    <mergeCell ref="B96:B97"/>
    <mergeCell ref="C96:C97"/>
    <mergeCell ref="D118:D119"/>
    <mergeCell ref="A98:A105"/>
    <mergeCell ref="B98:B105"/>
    <mergeCell ref="A107:A108"/>
    <mergeCell ref="B107:B108"/>
    <mergeCell ref="C107:C108"/>
    <mergeCell ref="D107:D108"/>
    <mergeCell ref="A109:A116"/>
    <mergeCell ref="B109:B116"/>
    <mergeCell ref="A118:A119"/>
    <mergeCell ref="B118:B119"/>
    <mergeCell ref="C118:C119"/>
    <mergeCell ref="J142:N142"/>
    <mergeCell ref="A144:A151"/>
    <mergeCell ref="B144:B151"/>
    <mergeCell ref="A120:A127"/>
    <mergeCell ref="B120:B127"/>
    <mergeCell ref="A129:A130"/>
    <mergeCell ref="B129:B130"/>
    <mergeCell ref="A131:A137"/>
    <mergeCell ref="B131:B137"/>
    <mergeCell ref="A165:A172"/>
    <mergeCell ref="B165:B172"/>
    <mergeCell ref="A142:A143"/>
    <mergeCell ref="B142:B143"/>
    <mergeCell ref="C142:C143"/>
    <mergeCell ref="A153:A154"/>
    <mergeCell ref="B153:B154"/>
    <mergeCell ref="C153:C154"/>
    <mergeCell ref="A155:A162"/>
    <mergeCell ref="B155:B162"/>
    <mergeCell ref="A176:A177"/>
    <mergeCell ref="B176:B177"/>
    <mergeCell ref="C176:C177"/>
    <mergeCell ref="I176:O176"/>
    <mergeCell ref="A178:A185"/>
    <mergeCell ref="B178:B185"/>
    <mergeCell ref="P180:S182"/>
    <mergeCell ref="A187:A188"/>
    <mergeCell ref="B187:B188"/>
    <mergeCell ref="C187:C188"/>
    <mergeCell ref="D187:G187"/>
    <mergeCell ref="H187:L187"/>
    <mergeCell ref="A189:A196"/>
    <mergeCell ref="B189:B196"/>
    <mergeCell ref="A202:A209"/>
    <mergeCell ref="B202:B209"/>
    <mergeCell ref="B213:B21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1"/>
  <sheetViews>
    <sheetView topLeftCell="B202" workbookViewId="0">
      <selection activeCell="F219" sqref="F219"/>
    </sheetView>
  </sheetViews>
  <sheetFormatPr defaultColWidth="8.85546875" defaultRowHeight="15"/>
  <cols>
    <col min="1" max="1" width="91" customWidth="1"/>
    <col min="2" max="2" width="64" customWidth="1"/>
    <col min="3" max="3" width="11.5703125" customWidth="1"/>
    <col min="4" max="5" width="13.140625" customWidth="1"/>
    <col min="6" max="6" width="13.28515625" customWidth="1"/>
    <col min="7"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798" t="s">
        <v>584</v>
      </c>
      <c r="C1" s="1799"/>
      <c r="D1" s="1799"/>
      <c r="E1" s="1799"/>
      <c r="F1" s="1799"/>
    </row>
    <row r="2" spans="1:25" s="1" customFormat="1" ht="20.100000000000001" customHeight="1" thickBot="1"/>
    <row r="3" spans="1:25" s="4" customFormat="1" ht="20.100000000000001" customHeight="1">
      <c r="A3" s="1811" t="s">
        <v>2</v>
      </c>
      <c r="B3" s="1812"/>
      <c r="C3" s="1812"/>
      <c r="D3" s="1812"/>
      <c r="E3" s="1812"/>
      <c r="F3" s="2487"/>
      <c r="G3" s="2487"/>
      <c r="H3" s="2487"/>
      <c r="I3" s="2487"/>
      <c r="J3" s="2487"/>
      <c r="K3" s="2487"/>
      <c r="L3" s="2487"/>
      <c r="M3" s="2487"/>
      <c r="N3" s="2487"/>
      <c r="O3" s="2488"/>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813"/>
      <c r="B15" s="1814"/>
      <c r="C15" s="10"/>
      <c r="D15" s="2421" t="s">
        <v>5</v>
      </c>
      <c r="E15" s="2489"/>
      <c r="F15" s="2489"/>
      <c r="G15" s="2489"/>
      <c r="H15" s="1746"/>
      <c r="I15" s="12" t="s">
        <v>6</v>
      </c>
      <c r="J15" s="13"/>
      <c r="K15" s="13"/>
      <c r="L15" s="13"/>
      <c r="M15" s="13"/>
      <c r="N15" s="13"/>
      <c r="O15" s="14"/>
      <c r="P15" s="15"/>
      <c r="Q15" s="16"/>
      <c r="R15" s="17"/>
      <c r="S15" s="17"/>
      <c r="T15" s="17"/>
      <c r="U15" s="17"/>
      <c r="V15" s="17"/>
      <c r="W15" s="15"/>
      <c r="X15" s="15"/>
      <c r="Y15" s="16"/>
    </row>
    <row r="16" spans="1:25" s="56" customFormat="1" ht="129" customHeight="1">
      <c r="A16" s="153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408" t="str">
        <f>CONCATENATE('[1]WSS 2015'!B17:B24,'[1]WSS 2016_2017 stan 31.12.2017'!A17:B24)</f>
        <v>Organizacja 27 jednodniowych szkoleń dot. efektów PROW 2007-2013 oraz PROW 2014-2020, spotkanie informacyjne "Transfer wiedzy i działalność informacyjna PROW 2014-2020", impreza wystawiennicza z udziałem szkół rolniczych prowadoznych przez MRiRW w zakresie promowania PROW 2014-2020, 5 imrez targowych (Siedlce, Bednary, Częstochowa, Spała, Natura Food), spotkanie informacyne dot. PROW w ramach Krajowego Kongeru Rolnictwa RP Konferencja dla kadry zarządzającej ZSCKR z wyjazdem studyjnym, Konferencja dla dyrektorów szkół rolniczych w zakresie działań info-promo PROW, konferencja dot. prezentacji i promocji innowacyjnych rozwiązań technologicznych oraz metod produkcji, szkolenie nt rozpoznawania i monitoringu agrofagów, podsumowanie konkursu na najlepsze czasopismo wydawnicze. Spotkanie w ramach Nordycko-Baltyckiej Sieci Obszarów WIejskich.Obszar tematyczny: Promocja zrównoważonego rozwoju obszarów wiejskich (operacja: Organizacja XL oraz XLI Ogólnopolskiego Konkursu Jakości Prac Scaleniowych promującego doświadczenia i najlepsze stosowane praktyki)  Spotkanie dotyczące doświadczeń europejskich we wdrażaniu podejścia Leader i RLKS w dniu 09.06.2016 r. dwa wydarzenia - "Transfer wiedzy i działalność informacyjna" (spotkanie z nauczycielami szkół rolniczych MRiRW oraz spotkanie podczas Sierpeckich Dni Rolnika w Studzieńcu).
Spotkanie podczas Sierpeckich Dni Rolnika w Studzieńcu miało charakter regionalny.
Spotkanie z nauczycielami ze szkół prowadzonych przez MRiRW miało charakter ogólnopolski. 6 wydarzeń:
1) Konferencja dla dyrektorów szkół rolniczych prowadzonych przez MRiRW oraz dyrektora KCER dot. PROW 2014-2020;
2) Olimpiady Wierdzy i Umiejętności dla uczniów szkół ponadgimnazjalnych. (2 olimpiady: Olimpiada Wiedzy o Żźywieniu i Żywności i Olimpiada Wiedzy i Umiętności Rolniczych)
3) projekt o zasięgu międzynarodowym - VIII Miedzynarodowe Targi Turytyki Wiejskiej i Agroturytyki AGROTRAVEL (8-10 kwietnia 2016 r.), w tym Międzynarodowy panel dyskusyjny w ramach Forum Turystyki Wiejskiej i Agroturystyki pt.: Miejsce turystyki wiejskiej w nowoczesnej gospodarce. (zakres tematyczny mieszany)
4) Wizyta studyjna AGROTRIP (priorytet 6 i 8 - Promowanie włączenia społecznego, zmniejszenia ubóstwa oraz rozwoju gospodarczego na obszarach wiejskich
Promowanie efektywnego gospodarowania zasobami i wspieranie przechodzenia w sektorach rolnym, spożywczym i leśnym na gospodarkę niskoemisyjną i odporną na zmianę klimatu.)
5) Stoisko "Odpoczywaj na wsi" (priorytet 6 i 8 - jak wyżej) 1. Konkurs "Sposób na sukces" 2. Konkurs na najlepsze wydawnictwo ODR cztery spotkania łącznie, w tym: (1)  jedno spotkanie dla działania  organizacja spotkań informacyjnych dla kadry kierowniczej instytutów naukowo-badawczych podległych Ministrowi Rolnictwa i Rozwoju Wsi ; (2) trzy spotkania dla działania -Organizacja cyklu wizyt doradców rolniczych w instytutach naukowo-badawczych Targi AgroPark w Lublinie, targi Agrotech w Kielcach, Regionalna Wystawa Zwierząt Hodowlanych w Szepietowie, targi Agrotech w Minikowie, Krajowa Wystawa Rolnicza oraz Dożynki Jasnogórskie w Częstochowie, Dni z Doradztwem Rolniczym w Siedlcach, Dożynki Prezydenckie w Spale, targi AGROSHOW w Bednarach. projekt o zasięgu miedzynarodowym - Targi Grune Woche w Berlinie, projekt o zasięgu miedzynarodowym - Targi BioFach w Norymberdze, Targi Natura Food w Łodzi, Finał V edycji ogólnopolskiego konkursu dla szkół gastronomicznych Krajowy Kongres Rolnictwa Rzeczypospolitej Polskiej1) Upowszechnianie wiedzy w zakresie systemów jakości zywności (konferencja i konkurs)
2) Z pola do Garnka - współpraca rolników ekologicznych w skracaniu łańcucha dostaw (szkolenia, wyjazdy studyjne)
3) Zespół ekspertów na rzecz wymogów ochrony środowiska i zmian klimatu (szkolenia)
4) Kierunek rozwój (konferencja)
5) Ekolider.pl LGD dla zrównoważonego rozwoju. Środowisko, klimat, ekoinnowacje w operacjach RLKS (konkurs 1, szkolenie 10, wyjazd studyjny 3)
6) Wyjazd studyjny do Portugalii w celu wymiany wiedzy z zakresu klęsk żywiołowych ze szczególnym uwzględnieniem suszy
7) Międzynarodowe warsztaty nt. ubustwa i wykluczenia na wsi (szkolenie, wyjazd studyjny)
8) Rolniczy Handel Detalicxzny ważnym elementem zrównoważonego rozwoju obszarów wiejskich (4 konferencje)
9) Zrównoważony rozwój regionu w oparciu o certyfikowane produkty tradycyjne (wyjazd studyjny, konferencja)
10) Puls wsi, czyli partycypacja umacnia lokalną synergię wsi (seminarium-3, konferencja-1)
11) Wyjazd studyjny-od bacówki do fabryki, dobre praktyki (wyjazd studyjny)
12) Sieci współpracy w turystyce wiejskiej - stan obecny i nowe wyzwania (konferencja) 
13) Zwiększenie efektywności doradztwa we wspieraniu innowacyjności w rolnictwie (konferencja)
14) Komercjalizacja działalności LGD formą budowy potencjału organizacyjnego (szkolenie)
15) Gospodarstwa opikuńcze - rozwijanie usług społecznych na obszarach wiejskich (szkolenia 16)
16) Przyróćmy Wisłę mieszkańcom obszarów wiejskich (szkolenie -4, wyjazd studyjny -4)
17) WPR po 2020 r.  (konferencje -4)
18) Upowszechnianie dobrych praktyk w farmerskiej produkcji sera (seminaria-13 dla PLW oraz dla doradców rolniczych, producentów, LGD, przedstawicieli organizacji pozarządowych)
1) 2 Jednodniowe konferencje nt. rezultatów realizacji PROW 2014-2020 z uwzględnieniem doświadczeń z perspektywy 2007-2013 oraz punkt informacyjny/doradczy (DROW)
2) "Transfer wiedzy i działalność informacyjna" (2 spotkania Spotkania podczas Sierpeckich Dni Rolnika w Studzieńcu miały charakter regionalny. Spotkania z nauczycielami ze szkół prowadzonych przez Ministra Rolnictwa i Rozwoju Wsi miały charakter krajowy). (SSO)
3) Organizacja konkursów promujących i informujących o PROW 2014-2020 (konkurs Sposób na sukces oraz na najlepsze wydwnictwo ODR) (SAR)
RR
 Targi AgroPark w Lublinie, Międzynarodowe Targi Techniki Rolniczej AGROTECH w Kielcach, Regionalna Wystawa Zwierząt Hodowlanych w Szepietowie, XXVI Krajowa Wystawa Rolnicza oraz Ogólnopolskie Dożynki Jasnogórskie w Częstochowie, Dożynki Prezydenckie w Spale,  XL Międzynarodowe Targi Rolno-Przemysłowe AGRO-TECH połączone z Regionalną Wystawą Zwierząt Hodowlanych w Minikowie, XXIV Regionalna Wystawa Zwierząt Hodowlanych i Dni z Doradztwem Rolniczym w Szepietowie, Międzynarodowa Wystawy Rolniczej AGRO SHOW w Bednarach, XXIX Międzynarodowe Dni z Doradztwem Rolniczym połączone z XIII Regionalną Wystawą Zwierząt Hodowlanych w Siedlcach.
Seminaria/szkolenia/spotkania/konferencje informacyjne nt.  Systemu Chronionych Nazw Pochodzenia, Chronionych Oznaczeń Geograficznych oraz Gwarantowanych Tradycyjnych Specjalności w celu przedstawienia działań wspierających ten sektor w ramach PROW 2014-2020DGZ
1. Obszar tematyczny: Promocja zrównoważonego rozwoju Obszarów Wiejskich  (operacja: XLI Ogólnopolskiego Konkursu Jakości Prac Scaleniowych promujacego doświadczenia i najlepsze stosowane praktyki)
SSO
1) "Olimpiada Wiedzy i Umiejętności Rolniczych" (zakup nagród rzeczowych dla laureatów);
2) "Olimpiada Wiedzy o Żywieniu i Żywności" (zakup nagród rzeczowych dla laureatów);
3)  Cykl konferencji dla dyrektorów szkół rolniczych prowadzonych przez Ministra Rolnictwa i Rozwoju Wsi dot. RPOW 2014-2020 ( 2 konferencje)
4) 8 seminariów pod nazwą: Integracja środowiska turystyki wiejskiej i agroturystyki z przedstawicielami branży turystycznej (priotytet 5 i 6);
5) organizacja stoiska "Odpoczywaj na wsi" na 8 imprezach targowo-plenerowych (priotytet 5 i 6)
6) organizacja stoiska "Odpoczywaj na wsi" na targach ITB w Berlinie  (piorytet 6 z naciskiem na promowanie rozwoju gospodarczego na obszarach wiejskich)
7) Liderki społeczności wiejskiej w procesach rozwoju lokalnego - (40 jednodniowych szkoleń)
SAR
1) 1 seminarium dla kadry zarządzajacej instytutów badawczych i jednostek doradztwa rolniczego, 
2) 2 wizyty doradców rolniczych w instytutach naukowo-badawczych, 
3) 2 spotkania informacyjne dla kadry zarządzajacej jednostkami doradztwa rolniczego
RR
4 wydarzenia: 
- Targi Grune Woche w Berlinie;
- Targi BioFch w Norymberdze;
-Targi Natura Food w Łodzi;
- Finał VI edycji ogólnopolskiego konkursu dla szkół gastronomicznych
Obszar tematyczny : Seminarium podsumowujące ZXL Ogólnopolski Konkurs Jakości Prac Scaleniowych</v>
      </c>
      <c r="B17" s="1855"/>
      <c r="C17" s="29">
        <v>2014</v>
      </c>
      <c r="D17" s="30"/>
      <c r="E17" s="31"/>
      <c r="F17" s="31"/>
      <c r="G17" s="32">
        <v>0</v>
      </c>
      <c r="H17" s="33"/>
      <c r="I17" s="31"/>
      <c r="J17" s="31"/>
      <c r="K17" s="31"/>
      <c r="L17" s="31"/>
      <c r="M17" s="31"/>
      <c r="N17" s="31"/>
      <c r="O17" s="34"/>
      <c r="P17" s="35"/>
      <c r="Q17" s="35"/>
      <c r="R17" s="35"/>
      <c r="S17" s="35"/>
      <c r="T17" s="35"/>
      <c r="U17" s="35"/>
      <c r="V17" s="35"/>
      <c r="W17" s="35"/>
      <c r="X17" s="35"/>
      <c r="Y17" s="35"/>
    </row>
    <row r="18" spans="1:25">
      <c r="A18" s="2378"/>
      <c r="B18" s="1855"/>
      <c r="C18" s="36">
        <v>2015</v>
      </c>
      <c r="D18" s="37">
        <f>'[1]WSS 2015'!D18</f>
        <v>0</v>
      </c>
      <c r="E18" s="38">
        <f>'[1]WSS 2015'!E18</f>
        <v>41</v>
      </c>
      <c r="F18" s="38">
        <f>'[1]WSS 2015'!F18</f>
        <v>0</v>
      </c>
      <c r="G18" s="32">
        <f>'[1]WSS 2015'!G18</f>
        <v>41</v>
      </c>
      <c r="H18" s="39">
        <f>'[1]WSS 2015'!H18</f>
        <v>7</v>
      </c>
      <c r="I18" s="38">
        <f>'[1]WSS 2015'!I18</f>
        <v>1</v>
      </c>
      <c r="J18" s="38">
        <f>'[1]WSS 2015'!J18</f>
        <v>2</v>
      </c>
      <c r="K18" s="38">
        <f>'[1]WSS 2015'!K18</f>
        <v>3</v>
      </c>
      <c r="L18" s="38">
        <f>'[1]WSS 2015'!L18</f>
        <v>0</v>
      </c>
      <c r="M18" s="38">
        <f>'[1]WSS 2015'!M18</f>
        <v>0</v>
      </c>
      <c r="N18" s="38">
        <f>'[1]WSS 2015'!N18</f>
        <v>1</v>
      </c>
      <c r="O18" s="40">
        <f>'[1]WSS 2015'!O18</f>
        <v>27</v>
      </c>
      <c r="P18" s="35"/>
      <c r="Q18" s="35"/>
      <c r="R18" s="35"/>
      <c r="S18" s="35"/>
      <c r="T18" s="35"/>
      <c r="U18" s="35"/>
      <c r="V18" s="35"/>
      <c r="W18" s="35"/>
      <c r="X18" s="35"/>
      <c r="Y18" s="35"/>
    </row>
    <row r="19" spans="1:25">
      <c r="A19" s="2378"/>
      <c r="B19" s="1855"/>
      <c r="C19" s="36">
        <v>2016</v>
      </c>
      <c r="D19" s="37">
        <v>1</v>
      </c>
      <c r="E19" s="38">
        <v>25</v>
      </c>
      <c r="F19" s="38">
        <v>3</v>
      </c>
      <c r="G19" s="32">
        <v>29</v>
      </c>
      <c r="H19" s="39">
        <v>6</v>
      </c>
      <c r="I19" s="38">
        <v>13</v>
      </c>
      <c r="J19" s="38">
        <v>0</v>
      </c>
      <c r="K19" s="38">
        <v>4</v>
      </c>
      <c r="L19" s="38">
        <v>1</v>
      </c>
      <c r="M19" s="38">
        <v>0</v>
      </c>
      <c r="N19" s="38">
        <v>0</v>
      </c>
      <c r="O19" s="40">
        <v>5</v>
      </c>
      <c r="P19" s="35"/>
      <c r="Q19" s="35"/>
      <c r="R19" s="35"/>
      <c r="S19" s="35"/>
      <c r="T19" s="35"/>
      <c r="U19" s="35"/>
      <c r="V19" s="35"/>
      <c r="W19" s="35"/>
      <c r="X19" s="35"/>
      <c r="Y19" s="35"/>
    </row>
    <row r="20" spans="1:25">
      <c r="A20" s="2378"/>
      <c r="B20" s="1855"/>
      <c r="C20" s="36">
        <v>2017</v>
      </c>
      <c r="D20" s="37">
        <v>9</v>
      </c>
      <c r="E20" s="38">
        <v>168</v>
      </c>
      <c r="F20" s="38">
        <v>3</v>
      </c>
      <c r="G20" s="32">
        <v>180</v>
      </c>
      <c r="H20" s="39">
        <v>15</v>
      </c>
      <c r="I20" s="38">
        <v>37</v>
      </c>
      <c r="J20" s="38">
        <v>8</v>
      </c>
      <c r="K20" s="38">
        <v>62</v>
      </c>
      <c r="L20" s="38">
        <v>14</v>
      </c>
      <c r="M20" s="38">
        <v>4</v>
      </c>
      <c r="N20" s="38">
        <v>0</v>
      </c>
      <c r="O20" s="40">
        <v>40</v>
      </c>
      <c r="P20" s="35"/>
      <c r="Q20" s="35"/>
      <c r="R20" s="35"/>
      <c r="S20" s="35"/>
      <c r="T20" s="35"/>
      <c r="U20" s="35"/>
      <c r="V20" s="35"/>
      <c r="W20" s="35"/>
      <c r="X20" s="35"/>
      <c r="Y20" s="35"/>
    </row>
    <row r="21" spans="1:25">
      <c r="A21" s="2378"/>
      <c r="B21" s="1855"/>
      <c r="C21" s="36">
        <v>2018</v>
      </c>
      <c r="D21" s="37"/>
      <c r="E21" s="38"/>
      <c r="F21" s="38"/>
      <c r="G21" s="32">
        <v>0</v>
      </c>
      <c r="H21" s="39"/>
      <c r="I21" s="38"/>
      <c r="J21" s="38"/>
      <c r="K21" s="38"/>
      <c r="L21" s="38"/>
      <c r="M21" s="38"/>
      <c r="N21" s="38"/>
      <c r="O21" s="40"/>
      <c r="P21" s="35"/>
      <c r="Q21" s="35"/>
      <c r="R21" s="35"/>
      <c r="S21" s="35"/>
      <c r="T21" s="35"/>
      <c r="U21" s="35"/>
      <c r="V21" s="35"/>
      <c r="W21" s="35"/>
      <c r="X21" s="35"/>
      <c r="Y21" s="35"/>
    </row>
    <row r="22" spans="1:25">
      <c r="A22" s="2378"/>
      <c r="B22" s="1855"/>
      <c r="C22" s="41">
        <v>2019</v>
      </c>
      <c r="D22" s="37"/>
      <c r="E22" s="38"/>
      <c r="F22" s="38"/>
      <c r="G22" s="32">
        <v>0</v>
      </c>
      <c r="H22" s="39"/>
      <c r="I22" s="38"/>
      <c r="J22" s="38"/>
      <c r="K22" s="38"/>
      <c r="L22" s="38"/>
      <c r="M22" s="38"/>
      <c r="N22" s="38"/>
      <c r="O22" s="40"/>
      <c r="P22" s="35"/>
      <c r="Q22" s="35"/>
      <c r="R22" s="35"/>
      <c r="S22" s="35"/>
      <c r="T22" s="35"/>
      <c r="U22" s="35"/>
      <c r="V22" s="35"/>
      <c r="W22" s="35"/>
      <c r="X22" s="35"/>
      <c r="Y22" s="35"/>
    </row>
    <row r="23" spans="1:25">
      <c r="A23" s="2378"/>
      <c r="B23" s="1855"/>
      <c r="C23" s="36">
        <v>2020</v>
      </c>
      <c r="D23" s="37"/>
      <c r="E23" s="38"/>
      <c r="F23" s="38"/>
      <c r="G23" s="32">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v>9</v>
      </c>
      <c r="E24" s="44">
        <v>168</v>
      </c>
      <c r="F24" s="44">
        <v>3</v>
      </c>
      <c r="G24" s="45">
        <v>180</v>
      </c>
      <c r="H24" s="46">
        <v>15</v>
      </c>
      <c r="I24" s="47">
        <v>37</v>
      </c>
      <c r="J24" s="47">
        <v>8</v>
      </c>
      <c r="K24" s="47">
        <v>62</v>
      </c>
      <c r="L24" s="47">
        <v>14</v>
      </c>
      <c r="M24" s="47">
        <v>4</v>
      </c>
      <c r="N24" s="47">
        <v>0</v>
      </c>
      <c r="O24" s="48">
        <v>40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813"/>
      <c r="B26" s="1814"/>
      <c r="C26" s="50"/>
      <c r="D26" s="2423" t="s">
        <v>5</v>
      </c>
      <c r="E26" s="2490"/>
      <c r="F26" s="2490"/>
      <c r="G26" s="2491"/>
      <c r="H26" s="15"/>
      <c r="I26" s="16"/>
      <c r="J26" s="17"/>
      <c r="K26" s="17"/>
      <c r="L26" s="17"/>
      <c r="M26" s="17"/>
      <c r="N26" s="17"/>
      <c r="O26" s="15"/>
      <c r="P26" s="15"/>
    </row>
    <row r="27" spans="1:25" s="56" customFormat="1" ht="93" customHeight="1">
      <c r="A27" s="171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408" t="str">
        <f>CONCATENATE('[1]WSS 2015'!B28:B35,'[1]WSS 2016_2017 stan 31.12.2017'!A28:B35)</f>
        <v>Organizacja 27 jednodniowych szkoleń dot. efektów PROW 2007-2013 oraz PROW 2014-2020 - 2700, spotkanie informacyjne "Transfer wiedzy i działalność informacyjna PROW 2014-2020" -83, impreza wystawiennicza z udziałem szkół rolniczych prowadoznych przez MRiRW w zakresie promowania PROW 2014-2020 - 51, 5 imrez targowych (Siedlce, Bednary, Częstochowa, Spała, Natura Food) - ok. 272000 odwiedzających, spotkanie informacyne dot. PROW w ramach Krajowego Kongeru Rolnictwa RP - 164 Konferencja dla kadry zarządzającej ZSCKR z wyjazdem studyjnym (1 dla 57 osób), Konferencja dla dyrektorów szkół rolniczych w zakresie działań info-promo PROW (1 dla 66 osób), konferencja dot. prezentacji i promocji innowacyjnych rozwiązań technologicznych oraz metod produkcji (1 dla 150 osób), szkolenie nt rozpoznawania i monitoringu agrofagów (88 osób), podsumowanie konkursu na nalepsze czasopismo wydawnicze (1 dla 35 osób).Spotkanie w ramach Nordycko-Baltyckiej Sieci Obszarów WIejskich.Obszar tematyczny: Promocja zrównoważonego rozwoju obszarów wiejskich (operacja: Organizacja XL oraz XLI Ogólnopolskiego Konkursu Jakości Prac Scaleniowych promującego doświadczenia i najlepsze stosowane praktyki)  - 78 osób  Spotkanie dotyczące doświadczeń europejskich we wdrażaniu podejścia Leader i RLKS w dniu 09.06.2016 r. - 40 osób dwa wydarzenia - "Transfer wiedzy i działalność informacyjna" (spotkanie z nauczycielami szkół rolniczych MRiRW oraz spotkanie podczas Sierpeckich Dni Rolnika w Studzieńcu).
Spotkanie podczas Sierpeckich Dni Rolnika w Studzieńcu miało charakter regionalny- 200 osób.
Spotkanie z nauczycielami ze szkół prowadzonych przez MRiRW miało charakter ogólnopolski - 100 osób. 5 wydarzeń:
1) Konferencja dla dyrektorów szkół rolniczych prowadzonych przez MRiRW oraz dyrektora KCER dot. PROW 2014-2020 - 68 osób;
2) Olimpiady Wierdzy i Umiejętności dla uczniów szkół ponadgimnazjalnych. (2 olimpiady: Olimpiada Wiedzy o Żźywieniu i Żywności i Olimpiada Wiedzy i Umiętności Rolniczych) - 65 osób
3) projekt o zasięgu międzynarodowym - VIII Miedzynarodowe Targi Turytyki Wiejskiej i Agroturytyki AGROTRAVEL (8-10 kwietnia 2016 r.), w tym Międzynarodowy panel dyskusyjny w ramach Forum Turystyki Wiejskiej i Agroturystyki pt.: Miejsce turystyki wiejskiej w nowoczesnej gospodarce. (priorytet 6) - 20000 uczestników
4) Wizyta studyjna AGROTRIP (priorytet 6) - 21 osób
5) Stoisko "Odpoczywaj na wsi" (priorytet 6 i 8 - jak wyżej) - 5000 odwiedzających 1. Konkurs "Sposób na sukces" 2. Konkurs na najlepsze wydawnictwo ODR (razem 166 osób) działanie : (1) organizacja spotkań informacyjnych dla kadry kierowniczej instytutów naukowo-badawczych podległych Ministrowi Rolnictwa i Rozwoju Wsi - liczba uczestników 90 osób ; (2) Organizacja cyklu wizyt doradców rolniczych w instytutach naukowo-badawczych łaczna liczba uczestników 177 Dane ze stron targowych lub informacja od organizatora targów, liczba oób odiwedzjących targi: targi AgroPark w Lublinie 22.104;  Targi Agrotech w Kielcach 64.330;  Wystawa Zwierząt Hodowlanych w Szepietowie 100.000;  targi Agrotech w Minikowie 35.000; Krajowa Wystawa Rolnicza oraz Dożynki Jasnogórskie w Częstochowie 80.000;  Dni z Doradztwem Rolniczym w Siedlcach 100.000; Dożynki Prezydenckie 15.000; targi AGROSHOW  w Bednarach 140.000. Dane ze stron targowych, liczba osób odwiedzających targi: projekt o zasięgu miedzynarodowym- Grune Woche w Berlinie  380.000;  projekt o zasięgu miedzynarodowym- BioFach 48.533;  Natura Food 12.000; liczba uczestników finału 12052 edycji ogólnoplskiego konkursu dla szkół gastronomicznych 52 osoby. Krajowy Kongres Rolnictwa Rzeczypospolitej Polskiej - 73 osoby1) Upowszechnianie wiedzy w zakresie systemów jakości zywności (konferencja i konkurs)
2) Z pola do Garnka - współpraca rolników ekologicznych w skracaniu łańcucha dostaw (szkolenia, wyjazdy studyjne)
3) Zespół ekspertów na rzecz wymogów ochrony środowiska i zmian klimatu (szkolenia)
4) Kierunek rozwój (konferencja)
5) Ekolider.pl LGD dla zrównoważonego rozwoju. Środowisko, klimat, ekoinnowacje w operacjach RLKS (konkurs 1, szkolenie 10, wyjazd studyjny 3)
6) Wyjazd studyjny do Portugalii w celu wymiany wiedzy z zakresu klęsk żywiołowych ze szczególnym uwzględnieniem suszy
7) Międzynarodowe warsztaty nt. ubustwa i wykluczenia na wsi (szkolenie, wyjazd studyjny)
8) Rolniczy Handel Detalicxzny ważnym elementem zrównoważonego rozwoju obszarów wiejskich (4 konferencje)
9) Zrównoważony rozwój regionu w oparciu o certyfikowane produkty tradycyjne (wyjazd studyjny, konferencja)
10) Puls wsi, czyli partycypacja umacnia lokalną synergię wsi (seminarium-3, konferencja-1)
11) Wyjazd studyjny-od bacówki do fabryki, dobre praktyki (wyjazd studyjny)
12) Sieci współpracy w turystyce wiejskiej - stan obecny i nowe wyzwania (konferencja) 
13) Zwiększenie efektywności doradztwa we wspieraniu innowacyjności w rolnictwie (konferencja)
14) Komercjalizacja działalności LGD formą budowy potencjału organizacyjnego (szkolenie)
15) Gospodarstwa opikuńcze - rozwijanie usług społecznych na obszarach wiejskich (szkolenia 16)
16) Przyróćmy Wisłę mieszkańcom obszarów wiejskich (szkolenie -4, wyjazd studyjny -4)
17) WPR po 2020 r.  (konferencje -4)
18) Upowszechnianie dobrych praktyk w farmerskiej produkcji sera (seminaria-13 dla PLW oraz dla doradców rolniczych, producentów, LGD, przedstawicieli organizacji pozarządowych)
1) 2 Jednodniowe konferencje nt. rezultatów realizacji PROW 2014-2020 z uwzględnieniem doświadczeń z perspektywy 2007-2013 oraz punkt informacyjny/doradczy (DROW)
2) "Transfer wiedzy i działalność informacyjna" (2 spotkania Spotkania podczas Sierpeckich Dni Rolnika w Studzieńcu miały charakter regionalny. Spotkania z nauczycielami ze szkół prowadzonych przez Ministra Rolnictwa i Rozwoju Wsi miały charakter krajowy). (SSO)
3) Organizacja konkursów promujących i informujących o PROW 2014-2020 (konkurs Sposób na sukces oraz na najlepsze wydwnictwo ODR) (SAR)
RR
Dane ze stron targowych lub informacja od organizatora targów, liczba osób odwiedzjących targi:
1) Targi AgroPark w Lublinie: 27 102
2) Międzynarodowe Targi Techniki Rolniczej AGROTECH w Kielcach: 71 250
3) Regionalna Wystawa Zwierząt Hodowlanych w Szepietowie 100 000
4) XXVI Krajowa Wystawa Rolnicza oraz Ogólnopolskie Dożynki Jasnogórskie w Częstochowie: 80 000
5) Dożynki Prezydenckie w Spale: 3 800
6) XL Międzynarodowe Targi Rolno-Przemysłowye AGRO-TECH połączone z Regionalną Wystawą Zwierząt Hodowlanych w Minikowie: 30 000
7) XXIV Regionalna Wystawa Zwierząt Hodowlanych i Dni z Doradztwem Rolniczym w Szepietowie: 100 000
8) Międzynarodowa Wystawa Rolnicza AGRO SHOW w Bendarach: 112 000
9) XXIX Międzynarodowe Dni z Doradztwem Rolniczym połączone z XIII Regionalną Wystawą Zwierząt Hodowlanych w Siedlcach: 80 000
10) Uczestnicy seminariów/szkoleń/spotkań/konferencji informacyjnych nt.  Systemu Chronionych Nazw Pochodzenia, Chronionych Oznaczeń Geograficznych oraz Gwarantowanych Tradycyjnych Specjalności w celu przedstawienia działań wspierających ten sektor w ramach PROW 2014-2020 - dane na podstawie list obecności 550 os.DROW
1.  2 cykle dwudniowych warsztatów, z których każdy składał się z 8 warsztatów;
2. 1 cykl jednodniowych warsztatów składający się z 8 spotkań;
3. 2 jednodniowe szkolenia;
4. umożliwienie udziału przedstawicieli LGD w 4 zagranicznych spotkaniach mających na celu skojarzenie potencjalnych partnerów projektów współpracy międzynarodowej
DGZ
1. Obszar tematyczny: Promocja zrównoważonego rozwoju Obszarów Wiejskich  (operacja: XLI Ogólnopolskiego Konkursu Jakości Prac Scaleniowych promujacego doświadczenia i najlepsze stosowane praktyki)
SSO
1) "Olimpiada Wiedzy i Umiejętności Rolniczych" (zakup nagród rzeczowych dla laureatów);
2) "Olimpiada Wiedzy o Żywieniu i Żywności" (zakup nagród rzeczowych dla laureatów);
3)  Cykl konferencji dla dyrektorów szkół rolniczych prowadzonych przez Ministra Rolnictwa i Rozwoju Wsi dot. RPOW 2014-2020 ( 2 konferencje)
4) 8 seminariów pod nazwą: Integracja środowiska turystyki wiejskiej i agroturystyki z przedstawicielami branży turystycznej (priotytet 5 i 6);
5) organizacja stoiska "Odpoczywaj na wsi" na 8 imprezach targowo-plenerowych (priotytet 5 i 6)
6) organizacja stoiska "Odpoczywaj na wsi" na targach ITB w Berlinie  (piorytet 6 z naciskiem na promowanie rozwoju gospodarczego na obszarach wiejskich)
7) Liderki społeczności wiejskiej w procesach rozwoju lokalnego - (40 jednodniowych szkoleń)
SAR
1) 1 seminarium dla kadry zarządzajacej instytutów badawczych i jednostek doradztwa rolniczego, 2 wizyty doradców rolniczych w instytutach naukowo-badawczych, 2 spotkania informacyjne dla kadry zarządzajacej jednostkami doradztwa rolniczego
RR
Dane ze stron targowych, liczba odwiedzających tragi:  
- Grune Woche w Berlinie: 400000; 
- BioFach 51453;  
- Natura Food 12000.
- Liczba uczestników finału VI edycji ogólnoplskiego konkursu dla szkół gastronomicznych - 50 osób.Obszar tematyczny : Seminarium podsumowujące ZXL Ogólnopolski Konkurs Jakości Prac Scaleniowych</v>
      </c>
      <c r="B28" s="1855"/>
      <c r="C28" s="57">
        <v>2014</v>
      </c>
      <c r="D28" s="33"/>
      <c r="E28" s="31"/>
      <c r="F28" s="31"/>
      <c r="G28" s="58">
        <v>0</v>
      </c>
      <c r="H28" s="35"/>
      <c r="I28" s="35"/>
      <c r="J28" s="35"/>
      <c r="K28" s="35"/>
      <c r="L28" s="35"/>
      <c r="M28" s="35"/>
      <c r="N28" s="35"/>
      <c r="O28" s="35"/>
      <c r="P28" s="35"/>
      <c r="Q28" s="7"/>
    </row>
    <row r="29" spans="1:25">
      <c r="A29" s="2378"/>
      <c r="B29" s="1855"/>
      <c r="C29" s="59">
        <v>2015</v>
      </c>
      <c r="D29" s="37">
        <f>'[1]WSS 2015'!D29</f>
        <v>0</v>
      </c>
      <c r="E29" s="38">
        <f>'[1]WSS 2015'!E29</f>
        <v>275420</v>
      </c>
      <c r="F29" s="38">
        <f>'[1]WSS 2015'!F29</f>
        <v>0</v>
      </c>
      <c r="G29" s="58">
        <f>'[1]WSS 2015'!G29</f>
        <v>275420</v>
      </c>
      <c r="H29" s="35"/>
      <c r="I29" s="35"/>
      <c r="J29" s="35"/>
      <c r="K29" s="35"/>
      <c r="L29" s="35"/>
      <c r="M29" s="35"/>
      <c r="N29" s="35"/>
      <c r="O29" s="35"/>
      <c r="P29" s="35"/>
      <c r="Q29" s="7"/>
    </row>
    <row r="30" spans="1:25">
      <c r="A30" s="2378"/>
      <c r="B30" s="1855"/>
      <c r="C30" s="59">
        <v>2016</v>
      </c>
      <c r="D30" s="37">
        <v>200</v>
      </c>
      <c r="E30" s="38">
        <v>594270</v>
      </c>
      <c r="F30" s="38">
        <v>428554</v>
      </c>
      <c r="G30" s="58">
        <v>1023024</v>
      </c>
      <c r="H30" s="35"/>
      <c r="I30" s="35"/>
      <c r="J30" s="35"/>
      <c r="K30" s="35"/>
      <c r="L30" s="35"/>
      <c r="M30" s="35"/>
      <c r="N30" s="35"/>
      <c r="O30" s="35"/>
      <c r="P30" s="35"/>
      <c r="Q30" s="7"/>
    </row>
    <row r="31" spans="1:25">
      <c r="A31" s="2378"/>
      <c r="B31" s="1855"/>
      <c r="C31" s="59">
        <v>2017</v>
      </c>
      <c r="D31" s="37">
        <v>223</v>
      </c>
      <c r="E31" s="38">
        <v>760666</v>
      </c>
      <c r="F31" s="38">
        <v>611453</v>
      </c>
      <c r="G31" s="32">
        <v>1372342</v>
      </c>
      <c r="H31" s="35"/>
      <c r="I31" s="35"/>
      <c r="J31" s="35"/>
      <c r="K31" s="35"/>
      <c r="L31" s="35"/>
      <c r="M31" s="35"/>
      <c r="N31" s="35"/>
      <c r="O31" s="35"/>
      <c r="P31" s="35"/>
      <c r="Q31" s="7"/>
    </row>
    <row r="32" spans="1:25">
      <c r="A32" s="2378"/>
      <c r="B32" s="1855"/>
      <c r="C32" s="59">
        <v>2018</v>
      </c>
      <c r="D32" s="39"/>
      <c r="E32" s="38"/>
      <c r="F32" s="38"/>
      <c r="G32" s="58">
        <v>0</v>
      </c>
      <c r="H32" s="35"/>
      <c r="I32" s="35"/>
      <c r="J32" s="35"/>
      <c r="K32" s="35"/>
      <c r="L32" s="35"/>
      <c r="M32" s="35"/>
      <c r="N32" s="35"/>
      <c r="O32" s="35"/>
      <c r="P32" s="35"/>
      <c r="Q32" s="7"/>
    </row>
    <row r="33" spans="1:17">
      <c r="A33" s="2378"/>
      <c r="B33" s="1855"/>
      <c r="C33" s="60">
        <v>2019</v>
      </c>
      <c r="D33" s="39"/>
      <c r="E33" s="38"/>
      <c r="F33" s="38"/>
      <c r="G33" s="58">
        <v>0</v>
      </c>
      <c r="H33" s="35"/>
      <c r="I33" s="35"/>
      <c r="J33" s="35"/>
      <c r="K33" s="35"/>
      <c r="L33" s="35"/>
      <c r="M33" s="35"/>
      <c r="N33" s="35"/>
      <c r="O33" s="35"/>
      <c r="P33" s="35"/>
      <c r="Q33" s="7"/>
    </row>
    <row r="34" spans="1:17">
      <c r="A34" s="2378"/>
      <c r="B34" s="1855"/>
      <c r="C34" s="59">
        <v>2020</v>
      </c>
      <c r="D34" s="39"/>
      <c r="E34" s="38"/>
      <c r="F34" s="38"/>
      <c r="G34" s="58">
        <v>0</v>
      </c>
      <c r="H34" s="35"/>
      <c r="I34" s="35"/>
      <c r="J34" s="35"/>
      <c r="K34" s="35"/>
      <c r="L34" s="35"/>
      <c r="M34" s="35"/>
      <c r="N34" s="35"/>
      <c r="O34" s="35"/>
      <c r="P34" s="35"/>
      <c r="Q34" s="7"/>
    </row>
    <row r="35" spans="1:17" ht="20.25" customHeight="1" thickBot="1">
      <c r="A35" s="1856"/>
      <c r="B35" s="1857"/>
      <c r="C35" s="61" t="s">
        <v>13</v>
      </c>
      <c r="D35" s="46">
        <v>223</v>
      </c>
      <c r="E35" s="44">
        <v>760666</v>
      </c>
      <c r="F35" s="44">
        <v>611453</v>
      </c>
      <c r="G35" s="48">
        <v>1372342</v>
      </c>
      <c r="H35" s="35"/>
      <c r="I35" s="35"/>
      <c r="J35" s="35"/>
      <c r="K35" s="35"/>
      <c r="L35" s="35"/>
      <c r="M35" s="35"/>
      <c r="N35" s="35"/>
      <c r="O35" s="35"/>
      <c r="P35" s="35"/>
      <c r="Q35" s="7"/>
    </row>
    <row r="36" spans="1:17">
      <c r="A36" s="1801"/>
      <c r="B36" s="1801"/>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815" t="s">
        <v>26</v>
      </c>
      <c r="B39" s="1816" t="s">
        <v>171</v>
      </c>
      <c r="C39" s="68" t="s">
        <v>9</v>
      </c>
      <c r="D39" s="1750" t="s">
        <v>28</v>
      </c>
      <c r="E39" s="70" t="s">
        <v>29</v>
      </c>
      <c r="F39" s="71"/>
      <c r="G39" s="28"/>
      <c r="H39" s="28"/>
    </row>
    <row r="40" spans="1:17">
      <c r="A40" s="2408" t="str">
        <f>CONCATENATE('[1]WSS 2015'!B40:B47,'[1]WSS 2016_2017 stan 31.12.2017'!A40:B47)</f>
        <v xml:space="preserve">       Upowszechnianie dobrych praktyk w farmerskiej produkcji sera (strona internetowa)</v>
      </c>
      <c r="B40" s="1855"/>
      <c r="C40" s="72">
        <v>2014</v>
      </c>
      <c r="D40" s="30"/>
      <c r="E40" s="29"/>
      <c r="F40" s="7"/>
      <c r="G40" s="35"/>
      <c r="H40" s="35"/>
    </row>
    <row r="41" spans="1:17">
      <c r="A41" s="2378"/>
      <c r="B41" s="1855"/>
      <c r="C41" s="73">
        <v>2015</v>
      </c>
      <c r="D41" s="37">
        <f>'[1]WSS 2015'!D41</f>
        <v>0</v>
      </c>
      <c r="E41" s="36">
        <f>'[1]WSS 2015'!E41</f>
        <v>0</v>
      </c>
      <c r="F41" s="7"/>
      <c r="G41" s="35"/>
      <c r="H41" s="35"/>
    </row>
    <row r="42" spans="1:17">
      <c r="A42" s="2378"/>
      <c r="B42" s="1855"/>
      <c r="C42" s="73">
        <v>2016</v>
      </c>
      <c r="D42" s="37">
        <v>0</v>
      </c>
      <c r="E42" s="36">
        <v>0</v>
      </c>
      <c r="F42" s="7"/>
      <c r="G42" s="35"/>
      <c r="H42" s="35"/>
    </row>
    <row r="43" spans="1:17">
      <c r="A43" s="2378"/>
      <c r="B43" s="1855"/>
      <c r="C43" s="73">
        <v>2017</v>
      </c>
      <c r="D43" s="37">
        <v>1296</v>
      </c>
      <c r="E43" s="38">
        <v>0</v>
      </c>
      <c r="F43" s="7"/>
      <c r="G43" s="35"/>
      <c r="H43" s="35"/>
    </row>
    <row r="44" spans="1:17">
      <c r="A44" s="2378"/>
      <c r="B44" s="1855"/>
      <c r="C44" s="73">
        <v>2018</v>
      </c>
      <c r="D44" s="37"/>
      <c r="E44" s="36"/>
      <c r="F44" s="7"/>
      <c r="G44" s="35"/>
      <c r="H44" s="35"/>
    </row>
    <row r="45" spans="1:17">
      <c r="A45" s="2378"/>
      <c r="B45" s="1855"/>
      <c r="C45" s="73">
        <v>2019</v>
      </c>
      <c r="D45" s="37"/>
      <c r="E45" s="36"/>
      <c r="F45" s="7"/>
      <c r="G45" s="35"/>
      <c r="H45" s="35"/>
    </row>
    <row r="46" spans="1:17">
      <c r="A46" s="2378"/>
      <c r="B46" s="1855"/>
      <c r="C46" s="73">
        <v>2020</v>
      </c>
      <c r="D46" s="37"/>
      <c r="E46" s="36"/>
      <c r="F46" s="7"/>
      <c r="G46" s="35"/>
      <c r="H46" s="35"/>
    </row>
    <row r="47" spans="1:17" ht="15.75" thickBot="1">
      <c r="A47" s="1856"/>
      <c r="B47" s="1857"/>
      <c r="C47" s="42" t="s">
        <v>13</v>
      </c>
      <c r="D47" s="43">
        <v>1296</v>
      </c>
      <c r="E47" s="455">
        <v>0</v>
      </c>
      <c r="F47" s="78"/>
      <c r="G47" s="35"/>
      <c r="H47" s="35"/>
    </row>
    <row r="48" spans="1:17" s="35" customFormat="1" ht="15.75" thickBot="1">
      <c r="A48" s="1817"/>
      <c r="B48" s="80"/>
      <c r="C48" s="81"/>
    </row>
    <row r="49" spans="1:15" ht="83.25" customHeight="1">
      <c r="A49" s="1753" t="s">
        <v>32</v>
      </c>
      <c r="B49" s="1816" t="s">
        <v>171</v>
      </c>
      <c r="C49" s="84" t="s">
        <v>9</v>
      </c>
      <c r="D49" s="1750" t="s">
        <v>34</v>
      </c>
      <c r="E49" s="85" t="s">
        <v>35</v>
      </c>
      <c r="F49" s="85" t="s">
        <v>36</v>
      </c>
      <c r="G49" s="85" t="s">
        <v>37</v>
      </c>
      <c r="H49" s="85" t="s">
        <v>38</v>
      </c>
      <c r="I49" s="85" t="s">
        <v>39</v>
      </c>
      <c r="J49" s="85" t="s">
        <v>40</v>
      </c>
      <c r="K49" s="86" t="s">
        <v>41</v>
      </c>
    </row>
    <row r="50" spans="1:15" ht="17.25" customHeight="1">
      <c r="A50" s="1872" t="s">
        <v>585</v>
      </c>
      <c r="B50" s="1879"/>
      <c r="C50" s="87" t="s">
        <v>43</v>
      </c>
      <c r="D50" s="30"/>
      <c r="E50" s="31"/>
      <c r="F50" s="31"/>
      <c r="G50" s="31"/>
      <c r="H50" s="31"/>
      <c r="I50" s="31"/>
      <c r="J50" s="31"/>
      <c r="K50" s="34"/>
    </row>
    <row r="51" spans="1:15" ht="15" customHeight="1">
      <c r="A51" s="2408"/>
      <c r="B51" s="1881"/>
      <c r="C51" s="73">
        <v>2014</v>
      </c>
      <c r="D51" s="37"/>
      <c r="E51" s="38"/>
      <c r="F51" s="38"/>
      <c r="G51" s="38"/>
      <c r="H51" s="38"/>
      <c r="I51" s="38"/>
      <c r="J51" s="38"/>
      <c r="K51" s="88"/>
    </row>
    <row r="52" spans="1:15">
      <c r="A52" s="2408"/>
      <c r="B52" s="1881"/>
      <c r="C52" s="73">
        <v>2015</v>
      </c>
      <c r="D52" s="37">
        <f>'[1]WSS 2015'!D52</f>
        <v>0</v>
      </c>
      <c r="E52" s="37">
        <f>'[1]WSS 2015'!E52</f>
        <v>0</v>
      </c>
      <c r="F52" s="37">
        <f>'[1]WSS 2015'!F52</f>
        <v>0</v>
      </c>
      <c r="G52" s="37">
        <f>'[1]WSS 2015'!G52</f>
        <v>0</v>
      </c>
      <c r="H52" s="37">
        <f>'[1]WSS 2015'!H52</f>
        <v>0</v>
      </c>
      <c r="I52" s="37">
        <f>'[1]WSS 2015'!I52</f>
        <v>0</v>
      </c>
      <c r="J52" s="37">
        <f>'[1]WSS 2015'!J52</f>
        <v>0</v>
      </c>
      <c r="K52" s="37">
        <f>'[1]WSS 2015'!K52</f>
        <v>0</v>
      </c>
    </row>
    <row r="53" spans="1:15">
      <c r="A53" s="2408"/>
      <c r="B53" s="1881"/>
      <c r="C53" s="73">
        <v>2016</v>
      </c>
      <c r="D53" s="37">
        <v>0</v>
      </c>
      <c r="E53" s="37">
        <v>0</v>
      </c>
      <c r="F53" s="37">
        <v>0</v>
      </c>
      <c r="G53" s="37">
        <v>0</v>
      </c>
      <c r="H53" s="37">
        <v>0</v>
      </c>
      <c r="I53" s="37">
        <v>0</v>
      </c>
      <c r="J53" s="37">
        <v>0</v>
      </c>
      <c r="K53" s="37">
        <v>0</v>
      </c>
    </row>
    <row r="54" spans="1:15">
      <c r="A54" s="2408"/>
      <c r="B54" s="1881"/>
      <c r="C54" s="73">
        <v>2017</v>
      </c>
      <c r="D54" s="37">
        <v>0</v>
      </c>
      <c r="E54" s="37">
        <v>0</v>
      </c>
      <c r="F54" s="37">
        <v>0</v>
      </c>
      <c r="G54" s="37">
        <v>0</v>
      </c>
      <c r="H54" s="37">
        <v>0</v>
      </c>
      <c r="I54" s="37">
        <v>0</v>
      </c>
      <c r="J54" s="37">
        <v>0</v>
      </c>
      <c r="K54" s="37">
        <v>0</v>
      </c>
    </row>
    <row r="55" spans="1:15">
      <c r="A55" s="2408"/>
      <c r="B55" s="1881"/>
      <c r="C55" s="73">
        <v>2018</v>
      </c>
      <c r="D55" s="37"/>
      <c r="E55" s="38"/>
      <c r="F55" s="38"/>
      <c r="G55" s="38"/>
      <c r="H55" s="38"/>
      <c r="I55" s="38"/>
      <c r="J55" s="38"/>
      <c r="K55" s="88"/>
    </row>
    <row r="56" spans="1:15">
      <c r="A56" s="2408"/>
      <c r="B56" s="1881"/>
      <c r="C56" s="73">
        <v>2019</v>
      </c>
      <c r="D56" s="37"/>
      <c r="E56" s="38"/>
      <c r="F56" s="38"/>
      <c r="G56" s="38"/>
      <c r="H56" s="38"/>
      <c r="I56" s="38"/>
      <c r="J56" s="38"/>
      <c r="K56" s="88"/>
    </row>
    <row r="57" spans="1:15">
      <c r="A57" s="2408"/>
      <c r="B57" s="1881"/>
      <c r="C57" s="73">
        <v>2020</v>
      </c>
      <c r="D57" s="37"/>
      <c r="E57" s="38"/>
      <c r="F57" s="38"/>
      <c r="G57" s="38"/>
      <c r="H57" s="38"/>
      <c r="I57" s="38"/>
      <c r="J57" s="38"/>
      <c r="K57" s="93"/>
    </row>
    <row r="58" spans="1:15" ht="67.5" customHeight="1" thickBot="1">
      <c r="A58" s="1876"/>
      <c r="B58" s="1883"/>
      <c r="C58" s="42" t="s">
        <v>13</v>
      </c>
      <c r="D58" s="43">
        <v>0</v>
      </c>
      <c r="E58" s="44">
        <v>0</v>
      </c>
      <c r="F58" s="44">
        <v>0</v>
      </c>
      <c r="G58" s="44">
        <v>0</v>
      </c>
      <c r="H58" s="44">
        <v>0</v>
      </c>
      <c r="I58" s="44">
        <v>0</v>
      </c>
      <c r="J58" s="44">
        <v>0</v>
      </c>
      <c r="K58" s="48">
        <v>0</v>
      </c>
    </row>
    <row r="59" spans="1:15" ht="15.75" thickBot="1"/>
    <row r="60" spans="1:15" ht="21" customHeight="1">
      <c r="A60" s="2485" t="s">
        <v>44</v>
      </c>
      <c r="B60" s="1818"/>
      <c r="C60" s="2486" t="s">
        <v>9</v>
      </c>
      <c r="D60" s="2417" t="s">
        <v>45</v>
      </c>
      <c r="E60" s="1541" t="s">
        <v>6</v>
      </c>
      <c r="F60" s="1819"/>
      <c r="G60" s="1819"/>
      <c r="H60" s="1819"/>
      <c r="I60" s="1819"/>
      <c r="J60" s="1819"/>
      <c r="K60" s="1819"/>
      <c r="L60" s="1820"/>
    </row>
    <row r="61" spans="1:15" ht="115.5" customHeight="1">
      <c r="A61" s="2428"/>
      <c r="B61" s="373" t="s">
        <v>171</v>
      </c>
      <c r="C61" s="1972"/>
      <c r="D61" s="1942"/>
      <c r="E61" s="100" t="s">
        <v>14</v>
      </c>
      <c r="F61" s="101" t="s">
        <v>15</v>
      </c>
      <c r="G61" s="101" t="s">
        <v>16</v>
      </c>
      <c r="H61" s="102" t="s">
        <v>17</v>
      </c>
      <c r="I61" s="102" t="s">
        <v>18</v>
      </c>
      <c r="J61" s="103" t="s">
        <v>19</v>
      </c>
      <c r="K61" s="101" t="s">
        <v>20</v>
      </c>
      <c r="L61" s="104" t="s">
        <v>21</v>
      </c>
      <c r="M61" s="105"/>
      <c r="N61" s="7"/>
      <c r="O61" s="7"/>
    </row>
    <row r="62" spans="1:15" ht="15" customHeight="1">
      <c r="A62" s="2408" t="str">
        <f>CONCATENATE('[1]WSS 2015'!B62:B69,'[1]WSS 2016_2017 stan 31.12.2017'!A62:B69)</f>
        <v>1. Zamieszczenie w Kalendarzu Rolników na 2016 rok materiału informacyjno-promocyjnego MRiRW dotyczącego efektów realizacji PROW 2007-2013 ora PROW 2014-2020 -nakład 300 000
2. Zamieszczenie w wydaniu okolicznościowym "Gazety targowej", materiału informacyjno-promocyjnego MRiRW dotyczącego efektów realizacji PROW 2017-2013 oraz PROW 2014-2020 - nakład 3 000
3. Wykonanie kalendarzy  w ilości 2000 szt.
4. Publikacja 10 artykułów 1.Kalendarze na 2017 r. promujace działania obszarowe PROW 2014-2020;                                                                                                                                                                                                                                                                                                                            2. Drukowane materiały informacyjno-promocyjne dla działań obszarowych PROW 2014-2020.   600 egz. kalendarzy na 2017 r., power banki 150 szt., wiatromierze 33 szt., deszczomierze 33 szt., testery pH 33 szt. Informator o instytutach  badawczych nadzorowanych przez Ministra Rolnictwa i Rozwoju Wsi- liczba egzemplarzy 1000 sztuk Wydanie publikacji informacyjnej  z zakresu systemu Chronionych Nazw Pochodzenia, Chronionych Oznaczeń Geograficzych, Gwarantowanych Tradycyjnych Specjalności- roztrzygnięcie konkursu na przepis kulinarny ( 5.000 egz.);  zamieszczenie w Kalendarzu Rolników na 2017 rok materiału informacyjno-promocyjnego dot. PROW 2014-2020 (1 artykuł 1 tj. 18 stron w nakładzie 250.000 ); wykonanie materiałów promocyjnych PROW 2014-2020 ( 18.200 sztuk). 1) Zespół ekspertów na rzecz wymogów ochrony środowiska i zmian klimatu (4 rodzaje publikacji)
2) Rola zasobów lokalnych w rozwoju wsi - dwie publikacje naukowe - (2 tomy po 250 egz. każdy - studia obszarów wiejskich - przypadki wykorzystania zasobów lokalnych w rozwoju obszarów wiejskich - 2 tomy)
3) Puls wsi, czyli partycypacja umacnia lokalną synergię wsi (publikacja)
4) Sieci współpracy w turystyce wiejskiej - stan obecny i nowe wyzwania (publikacja)
5) Zwiększenie efektywności doradztwa we wspieraniu innowacyjności w rolnictwie (publikacje - 1 ekspertyza)
6) Komercjalizacja działalności LGD formą budowy potencjału organizacyjnego (publikacja)
7) Działania informacyjno-promocyjne dot. zawodu rzeźnika (publikacja)
8) Gospodarstwa opikuńcze - rozwijanie usług społecznych na obszarach wiejskich (publikacja na CD)
9)Przyróćmy Wisłę mieszkańcom obszarów wiejskich (publikacja)
10)WPR po 2020 r.  (publikacja)
11) Racjonalna i zasobooszczędna gospodarka zasobami w rolnictwie i na obszarach wiejskich (publikacja -2)
12) Upowszechnianie dobrych praktyk w farmerskiej produkcji sera (poradnik)
DPB
1.Kalendarze na 2018 r. promujace działania obszarowe PROW 2014-2020 (2 000 egzemplarzy)                                                                                                                                                                                                                                                                                                                       2. Drukowane materiały informacyjno-promocyjne dla działań obszarowych PROW 2014-2020 (44 500 egzemplarzy)
SSO
Zakup materiałów informacyjno-promocyjnych w zakresie PROW 2014-2020
SAR
Zakup gadżetów promocyjnych
RR
 Zamieszczenie w „Kalendarzu Rolników” na 2017 i 2018 rok materiału informacyjno-promocyjnego MRiRW dotyczącego PROW 2014-2020.
DROW
Zakup gadżetów promocyjnych</v>
      </c>
      <c r="B62" s="1855"/>
      <c r="C62" s="106">
        <v>2014</v>
      </c>
      <c r="D62" s="107"/>
      <c r="E62" s="108"/>
      <c r="F62" s="109"/>
      <c r="G62" s="109"/>
      <c r="H62" s="109"/>
      <c r="I62" s="109"/>
      <c r="J62" s="109"/>
      <c r="K62" s="109"/>
      <c r="L62" s="34"/>
      <c r="M62" s="7"/>
      <c r="N62" s="7"/>
      <c r="O62" s="7"/>
    </row>
    <row r="63" spans="1:15">
      <c r="A63" s="2378"/>
      <c r="B63" s="1855"/>
      <c r="C63" s="110">
        <v>2015</v>
      </c>
      <c r="D63" s="37">
        <f>'[1]WSS 2015'!D63</f>
        <v>13</v>
      </c>
      <c r="E63" s="37">
        <f>'[1]WSS 2015'!E63</f>
        <v>0</v>
      </c>
      <c r="F63" s="38">
        <f>'[1]WSS 2015'!F63</f>
        <v>0</v>
      </c>
      <c r="G63" s="38">
        <f>'[1]WSS 2015'!G63</f>
        <v>0</v>
      </c>
      <c r="H63" s="38">
        <f>'[1]WSS 2015'!H63</f>
        <v>0</v>
      </c>
      <c r="I63" s="38">
        <f>'[1]WSS 2015'!I63</f>
        <v>0</v>
      </c>
      <c r="J63" s="38">
        <f>'[1]WSS 2015'!J63</f>
        <v>0</v>
      </c>
      <c r="K63" s="38">
        <f>'[1]WSS 2015'!K63</f>
        <v>0</v>
      </c>
      <c r="L63" s="88">
        <f>'[1]WSS 2015'!L63</f>
        <v>13</v>
      </c>
      <c r="M63" s="7"/>
      <c r="N63" s="7"/>
      <c r="O63" s="7"/>
    </row>
    <row r="64" spans="1:15">
      <c r="A64" s="2378"/>
      <c r="B64" s="1855"/>
      <c r="C64" s="110">
        <v>2016</v>
      </c>
      <c r="D64" s="37">
        <v>15</v>
      </c>
      <c r="E64" s="37">
        <v>6</v>
      </c>
      <c r="F64" s="37">
        <v>1</v>
      </c>
      <c r="G64" s="37">
        <v>5</v>
      </c>
      <c r="H64" s="37">
        <v>0</v>
      </c>
      <c r="I64" s="37">
        <v>0</v>
      </c>
      <c r="J64" s="37">
        <v>0</v>
      </c>
      <c r="K64" s="37">
        <v>0</v>
      </c>
      <c r="L64" s="37">
        <v>3</v>
      </c>
      <c r="M64" s="7"/>
      <c r="N64" s="7"/>
      <c r="O64" s="7"/>
    </row>
    <row r="65" spans="1:20">
      <c r="A65" s="2378"/>
      <c r="B65" s="1855"/>
      <c r="C65" s="110">
        <v>2017</v>
      </c>
      <c r="D65" s="37">
        <v>23</v>
      </c>
      <c r="E65" s="37">
        <v>7</v>
      </c>
      <c r="F65" s="37">
        <v>0</v>
      </c>
      <c r="G65" s="37">
        <v>4</v>
      </c>
      <c r="H65" s="37">
        <v>3</v>
      </c>
      <c r="I65" s="37">
        <v>0</v>
      </c>
      <c r="J65" s="37">
        <v>1</v>
      </c>
      <c r="K65" s="37">
        <v>1</v>
      </c>
      <c r="L65" s="37">
        <v>7</v>
      </c>
      <c r="M65" s="7"/>
      <c r="N65" s="7"/>
      <c r="O65" s="7"/>
    </row>
    <row r="66" spans="1:20">
      <c r="A66" s="2378"/>
      <c r="B66" s="1855"/>
      <c r="C66" s="110">
        <v>2018</v>
      </c>
      <c r="D66" s="111"/>
      <c r="E66" s="112"/>
      <c r="F66" s="38"/>
      <c r="G66" s="38"/>
      <c r="H66" s="38"/>
      <c r="I66" s="38"/>
      <c r="J66" s="38"/>
      <c r="K66" s="38"/>
      <c r="L66" s="88"/>
      <c r="M66" s="7"/>
      <c r="N66" s="7"/>
      <c r="O66" s="7"/>
    </row>
    <row r="67" spans="1:20" ht="17.25" customHeight="1">
      <c r="A67" s="2378"/>
      <c r="B67" s="1855"/>
      <c r="C67" s="110">
        <v>2019</v>
      </c>
      <c r="D67" s="111"/>
      <c r="E67" s="112"/>
      <c r="F67" s="38"/>
      <c r="G67" s="38"/>
      <c r="H67" s="38"/>
      <c r="I67" s="38"/>
      <c r="J67" s="38"/>
      <c r="K67" s="38"/>
      <c r="L67" s="88"/>
      <c r="M67" s="7"/>
      <c r="N67" s="7"/>
      <c r="O67" s="7"/>
    </row>
    <row r="68" spans="1:20" ht="16.5" customHeight="1">
      <c r="A68" s="2378"/>
      <c r="B68" s="1855"/>
      <c r="C68" s="110">
        <v>2020</v>
      </c>
      <c r="D68" s="111"/>
      <c r="E68" s="112"/>
      <c r="F68" s="38"/>
      <c r="G68" s="38"/>
      <c r="H68" s="38"/>
      <c r="I68" s="38"/>
      <c r="J68" s="38"/>
      <c r="K68" s="38"/>
      <c r="L68" s="88"/>
      <c r="M68" s="78"/>
      <c r="N68" s="78"/>
      <c r="O68" s="78"/>
    </row>
    <row r="69" spans="1:20" ht="18" customHeight="1" thickBot="1">
      <c r="A69" s="1856"/>
      <c r="B69" s="1857"/>
      <c r="C69" s="113" t="s">
        <v>13</v>
      </c>
      <c r="D69" s="114">
        <v>109330</v>
      </c>
      <c r="E69" s="115">
        <v>1501</v>
      </c>
      <c r="F69" s="116">
        <v>0</v>
      </c>
      <c r="G69" s="116">
        <v>20002</v>
      </c>
      <c r="H69" s="116">
        <v>931</v>
      </c>
      <c r="I69" s="116">
        <v>0</v>
      </c>
      <c r="J69" s="116"/>
      <c r="K69" s="116">
        <v>8000</v>
      </c>
      <c r="L69" s="117">
        <v>2001</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803" t="s">
        <v>47</v>
      </c>
      <c r="B71" s="1816" t="s">
        <v>171</v>
      </c>
      <c r="C71" s="68" t="s">
        <v>9</v>
      </c>
      <c r="D71" s="123" t="s">
        <v>49</v>
      </c>
      <c r="E71" s="123" t="s">
        <v>50</v>
      </c>
      <c r="F71" s="124" t="s">
        <v>51</v>
      </c>
      <c r="G71" s="1754" t="s">
        <v>52</v>
      </c>
      <c r="H71" s="126" t="s">
        <v>14</v>
      </c>
      <c r="I71" s="127" t="s">
        <v>15</v>
      </c>
      <c r="J71" s="128" t="s">
        <v>16</v>
      </c>
      <c r="K71" s="127" t="s">
        <v>17</v>
      </c>
      <c r="L71" s="127" t="s">
        <v>18</v>
      </c>
      <c r="M71" s="129" t="s">
        <v>19</v>
      </c>
      <c r="N71" s="128" t="s">
        <v>20</v>
      </c>
      <c r="O71" s="130" t="s">
        <v>21</v>
      </c>
    </row>
    <row r="72" spans="1:20" ht="15" customHeight="1">
      <c r="A72" s="2408" t="str">
        <f>CONCATENATE('[1]WSS 2015'!B72:B79,'[1]WSS 2016_2017 stan 31.12.2017'!A72:B79)</f>
        <v xml:space="preserve">1. Produkcja i emisja audycji na antenie Programu Pierwszego Polskiego Radia, dotycząca efektów realizacji PROW 2007-2013 oraz prezentujących PROW 2014-2020 oraz umieszczanie audycji w wersji dźwiękowej na portalu - 18 audycji i strona internetowa
2. Produkcja i emisja magazynu rolniczego pt. "Magazyn Wielkopolskich Rolników" prezentującego efekty realizacji PROW 2007-2013 oraz nowy okres programowania -PROW 2014020 na antenie Radia Merkury - 30 audycji i strona internetowa 
3. Produkcja i emisja  programów radiowych pt. "Radiowe Dożynki 2015, czyli nowe perspektywy dla rolnictwa wschodniej Polski w ramach nowej perspektywy finansowej i działania PROW 2014-2020, prezentujących efekty realizacji PROW 2007-2013 oraz nowy okres oprogramowania na antenie Katolickiego Radia Podlasie - 8 audycji i strona internetowa
4. Emisja watków na temat efektów realizacji PROW 2007-2013 oraz 2014-2020 w programie "Dzień dobry w sobote" - 6 audycji.
5. Kampania informacyjno-edukacyjna na temat PROW 2014-2020 oraz efektów realizacji PROW 2007-2013 w audycji "Wielki test o zywności. Polska Smakuje"     Kampania informacyjno-edukacyjna dotycząca PROW 2014-2020 na antenie Telwizji Polskiej S.A - Program 1 w audycj pt. "Magazyn Rolniczy" (6); Kampania informacyjno-edukacyjna dotycząca PROW 2014-2020 na antenie Telwizji Polskiej S.A - Program 1 w audycj pt. "Dzień Dobry w Sobotę";  (13);Kampania informacyjno-edukacyjna dotycząca PROW 2014-2020 na antenie Telwizji Polskiej S.A - Program 1 w audycj pt. Wielki Test o Żywności. Polska Smakuje" (1) Zorganizowanie i przeprowadzenie V edycji Konkursu dla szkół gastronomicznych na przepisy wykorzystujące produkty uczestniczące w systemie Chronionych Nazw Pochodzenia, Chronionych Oznaczeń Geograficznych oraz Gwarantowanych Tradycyjnych Specjalności;
produkcja i emisja audycji rolniczej o charakterze informacyjno-publicystycznym pod nazwą "Forum Rolnika" na antenie rozgłośni regionalnej: Polskiego Radia-Regionalnej Rozgłośni w Olsztynie Radio Olsztyn S.A. (16),
emisja audycji rolniczej o charakterze informacyjno-publicystycznym pod nazwą "Forum Rolnika" na antenach rozgłośni regionalnych: Polskiego Radia-Regionalnej Rozgłośni w Lublinie „Radio Lublin” S.A., Polskiego Radia-Regionalnej Rozgłośni w Białymstoku „Radio Białystok” S.A., Polskiego Radia-Regionalnej Rozgłośni w Koszalinie „Radio Koszalin” S.A., Polskiego Radia-Regionalnej Rozgłośni w Poznaniu „Radio Merkury” S.A., Polskiego Radia-Regionalnej Rozgłośni w Bydgoszczy "Polskie Radio Pomorza i Kujaw" S.A., Polskiego Radia-Regionalnej Rozgłośni w Warszawie „Radio Dla Ciebie” S.A., "Polskiego Radia Rzeszów"- Rozgłośni Regionalnej w Rzeszowie S.A.,  Polskiego Radia-Regionalnej Rozgłośni w Szczecinie „Polskie Radio Szczecin” S.A., Polskiego Radia-Regionalnej Rozgłośni w Zielonej Górze „Radio Zachód” S.A., Polskiego Radia-Regionalnej Rozgłośni w Kielcach „Radio Kielce” S.A.(132),
 Polskiego Radia-Regionalnej Rozgłośni w Łodzi „Radio Łódź” S.A.; Produkcja i emisja 3-minutowych audycji AgroFakty, na antenie Programu Pierwszego Polskiego Radia S.A. (14) 1) Rolniczy Handel Detalicxzny ważnym elementem zrównoważonego rozwoju obszarów wiejskich (audycje)
2) Działania informacyjno-promocyjne dot. zawodu rzeźnika (produkcja i emisja filmu)
3)Przyróćmy Wisłę mieszkańcom obszarów wiejskich (film -4)
RR
1) Zorganizowanie i przeprowadzenie VI edycji Konkursu dla szkół gastronomicznych na przepisy wykorzystujące produkty uczestniczące w systemie Chronionych Nazw Pochodzenia, Chronionych Oznaczeń Geograficznych oraz Gwarantowanych Tradycyjnych Specjalności;
2) Produkcja (33) i emisja radiowa audycji rolniczej o charakterze informacyjno-publicystycznym dotyczących PROW 2014-2020  pod nazwą „Forum Rolnika” na antenach regionalnych rozgłośni radiowych: Polskiego Radia - Regionalnej Rozgłośni w Olsztynie „Radio Olsztyn” S.A., Polskiego Radia-Regionalnej Rozgłośni w Białymstoku „Radio Białystok” S.A., "Polskiego Radia Rzeszów" - Rozgłośni Regionalnej w Rzeszowie S.A., Polskiego Radia-Regionalnej Rozgłośni w Kielcach „Radio Kielce” S.A., Polskiego Radia-Regionalnej Rozgłośni w Lublinie „Radio Lublin” S.A. (165)  
3) Kampania informacyjno-edukacyjna polegająca na umieszczeniu wątków na temat PROW na lata 2007-2013 oraz PROW 2014-2020 w audycjach telewizyjnych pt. : "To się opłaca" (18)
</v>
      </c>
      <c r="B72" s="1855"/>
      <c r="C72" s="72">
        <v>2014</v>
      </c>
      <c r="D72" s="131"/>
      <c r="E72" s="131"/>
      <c r="F72" s="131"/>
      <c r="G72" s="132">
        <v>0</v>
      </c>
      <c r="H72" s="30"/>
      <c r="I72" s="133"/>
      <c r="J72" s="109"/>
      <c r="K72" s="109"/>
      <c r="L72" s="109"/>
      <c r="M72" s="109"/>
      <c r="N72" s="109"/>
      <c r="O72" s="134"/>
    </row>
    <row r="73" spans="1:20">
      <c r="A73" s="2378"/>
      <c r="B73" s="1855"/>
      <c r="C73" s="73">
        <v>2015</v>
      </c>
      <c r="D73" s="37">
        <f>'[1]WSS 2015'!D73</f>
        <v>63</v>
      </c>
      <c r="E73" s="37">
        <f>'[1]WSS 2015'!E73</f>
        <v>0</v>
      </c>
      <c r="F73" s="135">
        <f>'[1]WSS 2015'!F73</f>
        <v>3</v>
      </c>
      <c r="G73" s="132">
        <f>'[1]WSS 2015'!G73</f>
        <v>66</v>
      </c>
      <c r="H73" s="37">
        <f>'[1]WSS 2015'!H73</f>
        <v>0</v>
      </c>
      <c r="I73" s="37">
        <f>'[1]WSS 2015'!I73</f>
        <v>0</v>
      </c>
      <c r="J73" s="38">
        <f>'[1]WSS 2015'!J73</f>
        <v>0</v>
      </c>
      <c r="K73" s="38">
        <f>'[1]WSS 2015'!K73</f>
        <v>0</v>
      </c>
      <c r="L73" s="38">
        <f>'[1]WSS 2015'!L73</f>
        <v>0</v>
      </c>
      <c r="M73" s="38">
        <f>'[1]WSS 2015'!M73</f>
        <v>0</v>
      </c>
      <c r="N73" s="38">
        <f>'[1]WSS 2015'!N73</f>
        <v>0</v>
      </c>
      <c r="O73" s="88">
        <f>'[1]WSS 2015'!O73</f>
        <v>66</v>
      </c>
    </row>
    <row r="74" spans="1:20">
      <c r="A74" s="2378"/>
      <c r="B74" s="1855"/>
      <c r="C74" s="73">
        <v>2016</v>
      </c>
      <c r="D74" s="37">
        <v>182</v>
      </c>
      <c r="E74" s="37">
        <v>1</v>
      </c>
      <c r="F74" s="37">
        <v>0</v>
      </c>
      <c r="G74" s="37">
        <v>183</v>
      </c>
      <c r="H74" s="37">
        <v>0</v>
      </c>
      <c r="I74" s="37">
        <v>76</v>
      </c>
      <c r="J74" s="37">
        <v>38</v>
      </c>
      <c r="K74" s="37">
        <v>0</v>
      </c>
      <c r="L74" s="37">
        <v>67</v>
      </c>
      <c r="M74" s="37">
        <v>2</v>
      </c>
      <c r="N74" s="37">
        <v>0</v>
      </c>
      <c r="O74" s="37">
        <v>0</v>
      </c>
    </row>
    <row r="75" spans="1:20">
      <c r="A75" s="2378"/>
      <c r="B75" s="1855"/>
      <c r="C75" s="73">
        <v>2017</v>
      </c>
      <c r="D75" s="37">
        <v>197</v>
      </c>
      <c r="E75" s="37">
        <v>1</v>
      </c>
      <c r="F75" s="37">
        <v>0</v>
      </c>
      <c r="G75" s="37">
        <v>198</v>
      </c>
      <c r="H75" s="37">
        <v>0</v>
      </c>
      <c r="I75" s="37">
        <v>193</v>
      </c>
      <c r="J75" s="37">
        <v>4</v>
      </c>
      <c r="K75" s="37">
        <v>1</v>
      </c>
      <c r="L75" s="37">
        <v>0</v>
      </c>
      <c r="M75" s="37">
        <v>0</v>
      </c>
      <c r="N75" s="37">
        <v>0</v>
      </c>
      <c r="O75" s="37">
        <v>0</v>
      </c>
    </row>
    <row r="76" spans="1:20">
      <c r="A76" s="2378"/>
      <c r="B76" s="1855"/>
      <c r="C76" s="73">
        <v>2018</v>
      </c>
      <c r="D76" s="135"/>
      <c r="E76" s="135"/>
      <c r="F76" s="135"/>
      <c r="G76" s="132">
        <v>0</v>
      </c>
      <c r="H76" s="37"/>
      <c r="I76" s="37"/>
      <c r="J76" s="38"/>
      <c r="K76" s="38"/>
      <c r="L76" s="38"/>
      <c r="M76" s="38"/>
      <c r="N76" s="38"/>
      <c r="O76" s="88"/>
    </row>
    <row r="77" spans="1:20" ht="15.75" customHeight="1">
      <c r="A77" s="2378"/>
      <c r="B77" s="1855"/>
      <c r="C77" s="73">
        <v>2019</v>
      </c>
      <c r="D77" s="135"/>
      <c r="E77" s="135"/>
      <c r="F77" s="135"/>
      <c r="G77" s="132">
        <v>0</v>
      </c>
      <c r="H77" s="37"/>
      <c r="I77" s="37"/>
      <c r="J77" s="38"/>
      <c r="K77" s="38"/>
      <c r="L77" s="38"/>
      <c r="M77" s="38"/>
      <c r="N77" s="38"/>
      <c r="O77" s="88"/>
    </row>
    <row r="78" spans="1:20" ht="17.25" customHeight="1">
      <c r="A78" s="2378"/>
      <c r="B78" s="1855"/>
      <c r="C78" s="73">
        <v>2020</v>
      </c>
      <c r="D78" s="135"/>
      <c r="E78" s="135"/>
      <c r="F78" s="135"/>
      <c r="G78" s="132">
        <v>0</v>
      </c>
      <c r="H78" s="37"/>
      <c r="I78" s="37"/>
      <c r="J78" s="38"/>
      <c r="K78" s="38"/>
      <c r="L78" s="38"/>
      <c r="M78" s="38"/>
      <c r="N78" s="38"/>
      <c r="O78" s="88"/>
    </row>
    <row r="79" spans="1:20" ht="20.25" customHeight="1" thickBot="1">
      <c r="A79" s="1856"/>
      <c r="B79" s="1857"/>
      <c r="C79" s="136" t="s">
        <v>13</v>
      </c>
      <c r="D79" s="114">
        <v>14</v>
      </c>
      <c r="E79" s="114">
        <v>184</v>
      </c>
      <c r="F79" s="114">
        <v>0</v>
      </c>
      <c r="G79" s="137">
        <v>198</v>
      </c>
      <c r="H79" s="138">
        <v>0</v>
      </c>
      <c r="I79" s="139">
        <v>193</v>
      </c>
      <c r="J79" s="116">
        <v>4</v>
      </c>
      <c r="K79" s="116">
        <v>1</v>
      </c>
      <c r="L79" s="116">
        <v>0</v>
      </c>
      <c r="M79" s="116">
        <v>0</v>
      </c>
      <c r="N79" s="116">
        <v>0</v>
      </c>
      <c r="O79" s="117">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804" t="s">
        <v>56</v>
      </c>
      <c r="B84" s="1821" t="s">
        <v>178</v>
      </c>
      <c r="C84" s="149" t="s">
        <v>9</v>
      </c>
      <c r="D84" s="1755" t="s">
        <v>58</v>
      </c>
      <c r="E84" s="151" t="s">
        <v>59</v>
      </c>
      <c r="F84" s="152" t="s">
        <v>60</v>
      </c>
      <c r="G84" s="152" t="s">
        <v>61</v>
      </c>
      <c r="H84" s="152" t="s">
        <v>62</v>
      </c>
      <c r="I84" s="152" t="s">
        <v>63</v>
      </c>
      <c r="J84" s="152" t="s">
        <v>64</v>
      </c>
      <c r="K84" s="153" t="s">
        <v>65</v>
      </c>
    </row>
    <row r="85" spans="1:16" ht="15" customHeight="1">
      <c r="A85" s="2408" t="str">
        <f>CONCATENATE('[1]WSS 2015'!B85:B92,'[1]WSS 2016_2017 stan 31.12.2017'!A85:B92)</f>
        <v xml:space="preserve">      </v>
      </c>
      <c r="B85" s="1855"/>
      <c r="C85" s="72">
        <v>2014</v>
      </c>
      <c r="D85" s="154"/>
      <c r="E85" s="155"/>
      <c r="F85" s="31"/>
      <c r="G85" s="31"/>
      <c r="H85" s="31"/>
      <c r="I85" s="31"/>
      <c r="J85" s="31"/>
      <c r="K85" s="34"/>
    </row>
    <row r="86" spans="1:16">
      <c r="A86" s="2378"/>
      <c r="B86" s="1855"/>
      <c r="C86" s="73">
        <v>2015</v>
      </c>
      <c r="D86" s="37">
        <f>'[1]WSS 2015'!D86</f>
        <v>0</v>
      </c>
      <c r="E86" s="37">
        <f>'[1]WSS 2015'!E86</f>
        <v>0</v>
      </c>
      <c r="F86" s="37">
        <f>'[1]WSS 2015'!F86</f>
        <v>0</v>
      </c>
      <c r="G86" s="37">
        <f>'[1]WSS 2015'!G86</f>
        <v>0</v>
      </c>
      <c r="H86" s="37">
        <f>'[1]WSS 2015'!H86</f>
        <v>0</v>
      </c>
      <c r="I86" s="37">
        <f>'[1]WSS 2015'!I86</f>
        <v>0</v>
      </c>
      <c r="J86" s="37">
        <f>'[1]WSS 2015'!J86</f>
        <v>0</v>
      </c>
      <c r="K86" s="37">
        <f>'[1]WSS 2015'!K86</f>
        <v>0</v>
      </c>
    </row>
    <row r="87" spans="1:16">
      <c r="A87" s="2378"/>
      <c r="B87" s="1855"/>
      <c r="C87" s="73">
        <v>2016</v>
      </c>
      <c r="D87" s="37">
        <v>0</v>
      </c>
      <c r="E87" s="37">
        <v>0</v>
      </c>
      <c r="F87" s="37">
        <v>0</v>
      </c>
      <c r="G87" s="37">
        <v>0</v>
      </c>
      <c r="H87" s="37">
        <v>0</v>
      </c>
      <c r="I87" s="37">
        <v>0</v>
      </c>
      <c r="J87" s="37">
        <v>0</v>
      </c>
      <c r="K87" s="37">
        <v>0</v>
      </c>
    </row>
    <row r="88" spans="1:16">
      <c r="A88" s="2378"/>
      <c r="B88" s="1855"/>
      <c r="C88" s="73">
        <v>2017</v>
      </c>
      <c r="D88" s="37">
        <v>0</v>
      </c>
      <c r="E88" s="37">
        <v>0</v>
      </c>
      <c r="F88" s="37">
        <v>0</v>
      </c>
      <c r="G88" s="37">
        <v>0</v>
      </c>
      <c r="H88" s="37">
        <v>0</v>
      </c>
      <c r="I88" s="37">
        <v>0</v>
      </c>
      <c r="J88" s="37">
        <v>0</v>
      </c>
      <c r="K88" s="37">
        <v>0</v>
      </c>
    </row>
    <row r="89" spans="1:16">
      <c r="A89" s="2378"/>
      <c r="B89" s="1855"/>
      <c r="C89" s="73">
        <v>2018</v>
      </c>
      <c r="D89" s="156"/>
      <c r="E89" s="112"/>
      <c r="F89" s="38"/>
      <c r="G89" s="38"/>
      <c r="H89" s="38"/>
      <c r="I89" s="38"/>
      <c r="J89" s="38"/>
      <c r="K89" s="88"/>
    </row>
    <row r="90" spans="1:16">
      <c r="A90" s="2378"/>
      <c r="B90" s="1855"/>
      <c r="C90" s="73">
        <v>2019</v>
      </c>
      <c r="D90" s="156"/>
      <c r="E90" s="112"/>
      <c r="F90" s="38"/>
      <c r="G90" s="38"/>
      <c r="H90" s="38"/>
      <c r="I90" s="38"/>
      <c r="J90" s="38"/>
      <c r="K90" s="88"/>
    </row>
    <row r="91" spans="1:16">
      <c r="A91" s="2378"/>
      <c r="B91" s="1855"/>
      <c r="C91" s="73">
        <v>2020</v>
      </c>
      <c r="D91" s="156"/>
      <c r="E91" s="112"/>
      <c r="F91" s="38"/>
      <c r="G91" s="38"/>
      <c r="H91" s="38"/>
      <c r="I91" s="38"/>
      <c r="J91" s="38"/>
      <c r="K91" s="88"/>
    </row>
    <row r="92" spans="1:16" ht="18" customHeight="1" thickBot="1">
      <c r="A92" s="1856"/>
      <c r="B92" s="1857"/>
      <c r="C92" s="136" t="s">
        <v>13</v>
      </c>
      <c r="D92" s="157">
        <v>0</v>
      </c>
      <c r="E92" s="115">
        <v>0</v>
      </c>
      <c r="F92" s="116">
        <v>0</v>
      </c>
      <c r="G92" s="116">
        <v>0</v>
      </c>
      <c r="H92" s="116">
        <v>0</v>
      </c>
      <c r="I92" s="116">
        <v>0</v>
      </c>
      <c r="J92" s="116">
        <v>0</v>
      </c>
      <c r="K92" s="117">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74" t="s">
        <v>68</v>
      </c>
      <c r="B96" s="2481" t="s">
        <v>179</v>
      </c>
      <c r="C96" s="2482" t="s">
        <v>9</v>
      </c>
      <c r="D96" s="2411" t="s">
        <v>70</v>
      </c>
      <c r="E96" s="2412"/>
      <c r="F96" s="1756" t="s">
        <v>71</v>
      </c>
      <c r="G96" s="1822"/>
      <c r="H96" s="1822"/>
      <c r="I96" s="1822"/>
      <c r="J96" s="1822"/>
      <c r="K96" s="1822"/>
      <c r="L96" s="1822"/>
      <c r="M96" s="1823"/>
      <c r="N96" s="165"/>
      <c r="O96" s="165"/>
      <c r="P96" s="165"/>
    </row>
    <row r="97" spans="1:16" ht="100.5" customHeight="1">
      <c r="A97" s="2406"/>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408" t="str">
        <f>CONCATENATE('[1]WSS 2015'!B98:B105,'[1]WSS 2016_2017 stan 31.12.2017'!A98:B105)</f>
        <v xml:space="preserve">      Obszar tematyczny: Promocja zrównoważonego rozwoju Obszarów Wiejskich  (operacja: XLI Ogólnopolskiego Konkursu Jakości Prac Scaleniowych promujacego doświadczenia i najlepsze stosowane praktyki)Obszar tematyczny : Seminarium podsumowujące ZXL Ogólnopolski Konkurs Jakości Prac Scaleniowych</v>
      </c>
      <c r="B98" s="1855"/>
      <c r="C98" s="106">
        <v>2014</v>
      </c>
      <c r="D98" s="30"/>
      <c r="E98" s="31"/>
      <c r="F98" s="174"/>
      <c r="G98" s="175"/>
      <c r="H98" s="175"/>
      <c r="I98" s="175"/>
      <c r="J98" s="175"/>
      <c r="K98" s="175"/>
      <c r="L98" s="175"/>
      <c r="M98" s="176"/>
      <c r="N98" s="165"/>
      <c r="O98" s="165"/>
      <c r="P98" s="165"/>
    </row>
    <row r="99" spans="1:16" ht="16.5" customHeight="1">
      <c r="A99" s="2378"/>
      <c r="B99" s="1855"/>
      <c r="C99" s="110">
        <v>2015</v>
      </c>
      <c r="D99" s="37">
        <f>'[1]WSS 2015'!D99</f>
        <v>0</v>
      </c>
      <c r="E99" s="37">
        <f>'[1]WSS 2015'!E99</f>
        <v>0</v>
      </c>
      <c r="F99" s="177">
        <f>'[1]WSS 2015'!F99</f>
        <v>0</v>
      </c>
      <c r="G99" s="178">
        <f>'[1]WSS 2015'!G99</f>
        <v>0</v>
      </c>
      <c r="H99" s="178">
        <f>'[1]WSS 2015'!H99</f>
        <v>0</v>
      </c>
      <c r="I99" s="178">
        <f>'[1]WSS 2015'!I99</f>
        <v>0</v>
      </c>
      <c r="J99" s="178">
        <f>'[1]WSS 2015'!J99</f>
        <v>0</v>
      </c>
      <c r="K99" s="178">
        <f>'[1]WSS 2015'!K99</f>
        <v>0</v>
      </c>
      <c r="L99" s="178">
        <f>'[1]WSS 2015'!L99</f>
        <v>0</v>
      </c>
      <c r="M99" s="179">
        <f>'[1]WSS 2015'!M99</f>
        <v>0</v>
      </c>
      <c r="N99" s="165"/>
      <c r="O99" s="165"/>
      <c r="P99" s="165"/>
    </row>
    <row r="100" spans="1:16" ht="16.5" customHeight="1">
      <c r="A100" s="2378"/>
      <c r="B100" s="1855"/>
      <c r="C100" s="110">
        <v>2016</v>
      </c>
      <c r="D100" s="37">
        <v>0</v>
      </c>
      <c r="E100" s="37">
        <v>0</v>
      </c>
      <c r="F100" s="37">
        <v>0</v>
      </c>
      <c r="G100" s="37">
        <v>0</v>
      </c>
      <c r="H100" s="37">
        <v>0</v>
      </c>
      <c r="I100" s="37">
        <v>0</v>
      </c>
      <c r="J100" s="37">
        <v>0</v>
      </c>
      <c r="K100" s="37">
        <v>0</v>
      </c>
      <c r="L100" s="37">
        <v>0</v>
      </c>
      <c r="M100" s="37">
        <v>0</v>
      </c>
      <c r="N100" s="165"/>
      <c r="O100" s="165"/>
      <c r="P100" s="165"/>
    </row>
    <row r="101" spans="1:16" ht="16.5" customHeight="1">
      <c r="A101" s="2378"/>
      <c r="B101" s="1855"/>
      <c r="C101" s="110">
        <v>2017</v>
      </c>
      <c r="D101" s="37">
        <v>2</v>
      </c>
      <c r="E101" s="37">
        <v>12</v>
      </c>
      <c r="F101" s="37">
        <v>0</v>
      </c>
      <c r="G101" s="37">
        <v>0</v>
      </c>
      <c r="H101" s="37">
        <v>0</v>
      </c>
      <c r="I101" s="37">
        <v>0</v>
      </c>
      <c r="J101" s="37">
        <v>0</v>
      </c>
      <c r="K101" s="37">
        <v>0</v>
      </c>
      <c r="L101" s="37">
        <v>0</v>
      </c>
      <c r="M101" s="37">
        <v>2</v>
      </c>
      <c r="N101" s="165"/>
      <c r="O101" s="165"/>
      <c r="P101" s="165"/>
    </row>
    <row r="102" spans="1:16" ht="15.75" customHeight="1">
      <c r="A102" s="2378"/>
      <c r="B102" s="1855"/>
      <c r="C102" s="110">
        <v>2018</v>
      </c>
      <c r="D102" s="37"/>
      <c r="E102" s="38"/>
      <c r="F102" s="177"/>
      <c r="G102" s="178"/>
      <c r="H102" s="178"/>
      <c r="I102" s="178"/>
      <c r="J102" s="178"/>
      <c r="K102" s="178"/>
      <c r="L102" s="178"/>
      <c r="M102" s="179"/>
      <c r="N102" s="165"/>
      <c r="O102" s="165"/>
      <c r="P102" s="165"/>
    </row>
    <row r="103" spans="1:16" ht="14.25" customHeight="1">
      <c r="A103" s="2378"/>
      <c r="B103" s="1855"/>
      <c r="C103" s="110">
        <v>2019</v>
      </c>
      <c r="D103" s="37"/>
      <c r="E103" s="38"/>
      <c r="F103" s="177"/>
      <c r="G103" s="178"/>
      <c r="H103" s="178"/>
      <c r="I103" s="178"/>
      <c r="J103" s="178"/>
      <c r="K103" s="178"/>
      <c r="L103" s="178"/>
      <c r="M103" s="179"/>
      <c r="N103" s="165"/>
      <c r="O103" s="165"/>
      <c r="P103" s="165"/>
    </row>
    <row r="104" spans="1:16" ht="14.25" customHeight="1">
      <c r="A104" s="2378"/>
      <c r="B104" s="1855"/>
      <c r="C104" s="110">
        <v>2020</v>
      </c>
      <c r="D104" s="37"/>
      <c r="E104" s="38"/>
      <c r="F104" s="177"/>
      <c r="G104" s="178"/>
      <c r="H104" s="178"/>
      <c r="I104" s="178"/>
      <c r="J104" s="178"/>
      <c r="K104" s="178"/>
      <c r="L104" s="178"/>
      <c r="M104" s="179"/>
      <c r="N104" s="165"/>
      <c r="O104" s="165"/>
      <c r="P104" s="165"/>
    </row>
    <row r="105" spans="1:16" ht="19.5" customHeight="1" thickBot="1">
      <c r="A105" s="1856"/>
      <c r="B105" s="1857"/>
      <c r="C105" s="113" t="s">
        <v>13</v>
      </c>
      <c r="D105" s="139">
        <v>2</v>
      </c>
      <c r="E105" s="116">
        <v>12</v>
      </c>
      <c r="F105" s="180">
        <v>0</v>
      </c>
      <c r="G105" s="181">
        <v>0</v>
      </c>
      <c r="H105" s="181">
        <v>0</v>
      </c>
      <c r="I105" s="181">
        <v>0</v>
      </c>
      <c r="J105" s="181">
        <v>0</v>
      </c>
      <c r="K105" s="181">
        <v>0</v>
      </c>
      <c r="L105" s="181">
        <v>0</v>
      </c>
      <c r="M105" s="182">
        <v>2</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74" t="s">
        <v>77</v>
      </c>
      <c r="B107" s="2481" t="s">
        <v>179</v>
      </c>
      <c r="C107" s="2482" t="s">
        <v>9</v>
      </c>
      <c r="D107" s="2414" t="s">
        <v>78</v>
      </c>
      <c r="E107" s="1756" t="s">
        <v>79</v>
      </c>
      <c r="F107" s="1822"/>
      <c r="G107" s="1822"/>
      <c r="H107" s="1822"/>
      <c r="I107" s="1822"/>
      <c r="J107" s="1822"/>
      <c r="K107" s="1822"/>
      <c r="L107" s="1823"/>
      <c r="M107" s="185"/>
      <c r="N107" s="185"/>
    </row>
    <row r="108" spans="1:16" ht="103.5" customHeight="1">
      <c r="A108" s="2406"/>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408" t="str">
        <f>CONCATENATE('[1]WSS 2015'!B109:B116,'[1]WSS 2016_2017 stan 31.12.2017'!A109:B116)</f>
        <v xml:space="preserve">      </v>
      </c>
      <c r="B109" s="1855"/>
      <c r="C109" s="106">
        <v>2014</v>
      </c>
      <c r="D109" s="31"/>
      <c r="E109" s="174"/>
      <c r="F109" s="175"/>
      <c r="G109" s="175"/>
      <c r="H109" s="175"/>
      <c r="I109" s="175"/>
      <c r="J109" s="175"/>
      <c r="K109" s="175"/>
      <c r="L109" s="176"/>
      <c r="M109" s="185"/>
      <c r="N109" s="185"/>
    </row>
    <row r="110" spans="1:16">
      <c r="A110" s="2378"/>
      <c r="B110" s="1855"/>
      <c r="C110" s="110">
        <v>2015</v>
      </c>
      <c r="D110" s="37">
        <f>'[1]WSS 2015'!D110</f>
        <v>0</v>
      </c>
      <c r="E110" s="37">
        <f>'[1]WSS 2015'!E110</f>
        <v>0</v>
      </c>
      <c r="F110" s="178">
        <f>'[1]WSS 2015'!F110</f>
        <v>0</v>
      </c>
      <c r="G110" s="178">
        <f>'[1]WSS 2015'!G110</f>
        <v>0</v>
      </c>
      <c r="H110" s="178">
        <f>'[1]WSS 2015'!H110</f>
        <v>0</v>
      </c>
      <c r="I110" s="178">
        <f>'[1]WSS 2015'!I110</f>
        <v>0</v>
      </c>
      <c r="J110" s="178">
        <f>'[1]WSS 2015'!J110</f>
        <v>0</v>
      </c>
      <c r="K110" s="178">
        <f>'[1]WSS 2015'!K110</f>
        <v>0</v>
      </c>
      <c r="L110" s="179">
        <f>'[1]WSS 2015'!L110</f>
        <v>0</v>
      </c>
      <c r="M110" s="185"/>
      <c r="N110" s="185"/>
    </row>
    <row r="111" spans="1:16">
      <c r="A111" s="2378"/>
      <c r="B111" s="1855"/>
      <c r="C111" s="110">
        <v>2016</v>
      </c>
      <c r="D111" s="37">
        <v>0</v>
      </c>
      <c r="E111" s="37">
        <v>0</v>
      </c>
      <c r="F111" s="37">
        <v>0</v>
      </c>
      <c r="G111" s="37">
        <v>0</v>
      </c>
      <c r="H111" s="37">
        <v>0</v>
      </c>
      <c r="I111" s="37">
        <v>0</v>
      </c>
      <c r="J111" s="37">
        <v>0</v>
      </c>
      <c r="K111" s="37">
        <v>0</v>
      </c>
      <c r="L111" s="37">
        <v>0</v>
      </c>
      <c r="M111" s="185"/>
      <c r="N111" s="185"/>
    </row>
    <row r="112" spans="1:16">
      <c r="A112" s="2378"/>
      <c r="B112" s="1855"/>
      <c r="C112" s="110">
        <v>2017</v>
      </c>
      <c r="D112" s="37">
        <v>0</v>
      </c>
      <c r="E112" s="37">
        <v>0</v>
      </c>
      <c r="F112" s="37">
        <v>0</v>
      </c>
      <c r="G112" s="37">
        <v>0</v>
      </c>
      <c r="H112" s="37">
        <v>0</v>
      </c>
      <c r="I112" s="37">
        <v>0</v>
      </c>
      <c r="J112" s="37">
        <v>0</v>
      </c>
      <c r="K112" s="37">
        <v>0</v>
      </c>
      <c r="L112" s="37">
        <v>0</v>
      </c>
      <c r="M112" s="185"/>
      <c r="N112" s="185"/>
    </row>
    <row r="113" spans="1:14">
      <c r="A113" s="2378"/>
      <c r="B113" s="1855"/>
      <c r="C113" s="110">
        <v>2018</v>
      </c>
      <c r="D113" s="38"/>
      <c r="E113" s="177"/>
      <c r="F113" s="178"/>
      <c r="G113" s="178"/>
      <c r="H113" s="178"/>
      <c r="I113" s="178"/>
      <c r="J113" s="178"/>
      <c r="K113" s="178"/>
      <c r="L113" s="179"/>
      <c r="M113" s="185"/>
      <c r="N113" s="185"/>
    </row>
    <row r="114" spans="1:14">
      <c r="A114" s="2378"/>
      <c r="B114" s="1855"/>
      <c r="C114" s="110">
        <v>2019</v>
      </c>
      <c r="D114" s="38"/>
      <c r="E114" s="177"/>
      <c r="F114" s="178"/>
      <c r="G114" s="178"/>
      <c r="H114" s="178"/>
      <c r="I114" s="178"/>
      <c r="J114" s="178"/>
      <c r="K114" s="178"/>
      <c r="L114" s="179"/>
      <c r="M114" s="185"/>
      <c r="N114" s="185"/>
    </row>
    <row r="115" spans="1:14">
      <c r="A115" s="2378"/>
      <c r="B115" s="1855"/>
      <c r="C115" s="110">
        <v>2020</v>
      </c>
      <c r="D115" s="38"/>
      <c r="E115" s="177"/>
      <c r="F115" s="178"/>
      <c r="G115" s="178"/>
      <c r="H115" s="178"/>
      <c r="I115" s="178"/>
      <c r="J115" s="178"/>
      <c r="K115" s="178"/>
      <c r="L115" s="179"/>
      <c r="M115" s="185"/>
      <c r="N115" s="185"/>
    </row>
    <row r="116" spans="1:14" ht="25.5" customHeight="1" thickBot="1">
      <c r="A116" s="1856"/>
      <c r="B116" s="1857"/>
      <c r="C116" s="113" t="s">
        <v>13</v>
      </c>
      <c r="D116" s="116">
        <v>0</v>
      </c>
      <c r="E116" s="180">
        <v>0</v>
      </c>
      <c r="F116" s="181">
        <v>0</v>
      </c>
      <c r="G116" s="181">
        <v>0</v>
      </c>
      <c r="H116" s="181">
        <v>0</v>
      </c>
      <c r="I116" s="181">
        <v>0</v>
      </c>
      <c r="J116" s="181"/>
      <c r="K116" s="181">
        <v>0</v>
      </c>
      <c r="L116" s="182">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74" t="s">
        <v>81</v>
      </c>
      <c r="B118" s="2481" t="s">
        <v>179</v>
      </c>
      <c r="C118" s="2482" t="s">
        <v>9</v>
      </c>
      <c r="D118" s="2414" t="s">
        <v>82</v>
      </c>
      <c r="E118" s="1756" t="s">
        <v>79</v>
      </c>
      <c r="F118" s="1822"/>
      <c r="G118" s="1822"/>
      <c r="H118" s="1822"/>
      <c r="I118" s="1822"/>
      <c r="J118" s="1822"/>
      <c r="K118" s="1822"/>
      <c r="L118" s="1823"/>
      <c r="M118" s="185"/>
      <c r="N118" s="185"/>
    </row>
    <row r="119" spans="1:14" ht="120.75" customHeight="1">
      <c r="A119" s="2406"/>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408" t="str">
        <f>CONCATENATE('[1]WSS 2015'!B120:B127,'[1]WSS 2016_2017 stan 31.12.2017'!A120:B127)</f>
        <v xml:space="preserve">      </v>
      </c>
      <c r="B120" s="1855"/>
      <c r="C120" s="106">
        <v>2014</v>
      </c>
      <c r="D120" s="31"/>
      <c r="E120" s="174"/>
      <c r="F120" s="175"/>
      <c r="G120" s="175"/>
      <c r="H120" s="175"/>
      <c r="I120" s="175"/>
      <c r="J120" s="175"/>
      <c r="K120" s="175"/>
      <c r="L120" s="176"/>
      <c r="M120" s="185"/>
      <c r="N120" s="185"/>
    </row>
    <row r="121" spans="1:14">
      <c r="A121" s="2378"/>
      <c r="B121" s="1855"/>
      <c r="C121" s="110">
        <v>2015</v>
      </c>
      <c r="D121" s="37">
        <f>'[1]WSS 2015'!D121</f>
        <v>0</v>
      </c>
      <c r="E121" s="37">
        <f>'[1]WSS 2015'!E121</f>
        <v>0</v>
      </c>
      <c r="F121" s="178">
        <f>'[1]WSS 2015'!F121</f>
        <v>0</v>
      </c>
      <c r="G121" s="178">
        <f>'[1]WSS 2015'!G121</f>
        <v>0</v>
      </c>
      <c r="H121" s="178">
        <f>'[1]WSS 2015'!H121</f>
        <v>0</v>
      </c>
      <c r="I121" s="178">
        <f>'[1]WSS 2015'!I121</f>
        <v>0</v>
      </c>
      <c r="J121" s="178">
        <f>'[1]WSS 2015'!J121</f>
        <v>0</v>
      </c>
      <c r="K121" s="178">
        <f>'[1]WSS 2015'!K121</f>
        <v>0</v>
      </c>
      <c r="L121" s="179">
        <f>'[1]WSS 2015'!L121</f>
        <v>0</v>
      </c>
      <c r="M121" s="185"/>
      <c r="N121" s="185"/>
    </row>
    <row r="122" spans="1:14">
      <c r="A122" s="2378"/>
      <c r="B122" s="1855"/>
      <c r="C122" s="110">
        <v>2016</v>
      </c>
      <c r="D122" s="37">
        <v>0</v>
      </c>
      <c r="E122" s="37">
        <v>0</v>
      </c>
      <c r="F122" s="37">
        <v>0</v>
      </c>
      <c r="G122" s="37">
        <v>0</v>
      </c>
      <c r="H122" s="37">
        <v>0</v>
      </c>
      <c r="I122" s="37">
        <v>0</v>
      </c>
      <c r="J122" s="37">
        <v>0</v>
      </c>
      <c r="K122" s="37">
        <v>0</v>
      </c>
      <c r="L122" s="37">
        <v>0</v>
      </c>
      <c r="M122" s="185"/>
      <c r="N122" s="185"/>
    </row>
    <row r="123" spans="1:14">
      <c r="A123" s="2378"/>
      <c r="B123" s="1855"/>
      <c r="C123" s="110">
        <v>2017</v>
      </c>
      <c r="D123" s="37">
        <v>0</v>
      </c>
      <c r="E123" s="37">
        <v>0</v>
      </c>
      <c r="F123" s="37">
        <v>0</v>
      </c>
      <c r="G123" s="37">
        <v>0</v>
      </c>
      <c r="H123" s="37">
        <v>0</v>
      </c>
      <c r="I123" s="37">
        <v>0</v>
      </c>
      <c r="J123" s="37">
        <v>0</v>
      </c>
      <c r="K123" s="37">
        <v>0</v>
      </c>
      <c r="L123" s="37">
        <v>0</v>
      </c>
      <c r="M123" s="185"/>
      <c r="N123" s="185"/>
    </row>
    <row r="124" spans="1:14">
      <c r="A124" s="2378"/>
      <c r="B124" s="1855"/>
      <c r="C124" s="110">
        <v>2018</v>
      </c>
      <c r="D124" s="38"/>
      <c r="E124" s="177"/>
      <c r="F124" s="178"/>
      <c r="G124" s="178"/>
      <c r="H124" s="178"/>
      <c r="I124" s="178"/>
      <c r="J124" s="178"/>
      <c r="K124" s="178"/>
      <c r="L124" s="179"/>
      <c r="M124" s="185"/>
      <c r="N124" s="185"/>
    </row>
    <row r="125" spans="1:14">
      <c r="A125" s="2378"/>
      <c r="B125" s="1855"/>
      <c r="C125" s="110">
        <v>2019</v>
      </c>
      <c r="D125" s="38"/>
      <c r="E125" s="177"/>
      <c r="F125" s="178"/>
      <c r="G125" s="178"/>
      <c r="H125" s="178"/>
      <c r="I125" s="178"/>
      <c r="J125" s="178"/>
      <c r="K125" s="178"/>
      <c r="L125" s="179"/>
      <c r="M125" s="185"/>
      <c r="N125" s="185"/>
    </row>
    <row r="126" spans="1:14">
      <c r="A126" s="2378"/>
      <c r="B126" s="1855"/>
      <c r="C126" s="110">
        <v>2020</v>
      </c>
      <c r="D126" s="38"/>
      <c r="E126" s="177"/>
      <c r="F126" s="178"/>
      <c r="G126" s="178"/>
      <c r="H126" s="178"/>
      <c r="I126" s="178"/>
      <c r="J126" s="178"/>
      <c r="K126" s="178"/>
      <c r="L126" s="179"/>
      <c r="M126" s="185"/>
      <c r="N126" s="185"/>
    </row>
    <row r="127" spans="1:14" ht="15.75" thickBot="1">
      <c r="A127" s="1856"/>
      <c r="B127" s="1857"/>
      <c r="C127" s="113" t="s">
        <v>13</v>
      </c>
      <c r="D127" s="116">
        <v>0</v>
      </c>
      <c r="E127" s="180">
        <v>0</v>
      </c>
      <c r="F127" s="181">
        <v>0</v>
      </c>
      <c r="G127" s="181">
        <v>0</v>
      </c>
      <c r="H127" s="181">
        <v>0</v>
      </c>
      <c r="I127" s="181">
        <v>0</v>
      </c>
      <c r="J127" s="181"/>
      <c r="K127" s="181">
        <v>0</v>
      </c>
      <c r="L127" s="182">
        <v>0</v>
      </c>
      <c r="M127" s="185"/>
      <c r="N127" s="185"/>
    </row>
    <row r="128" spans="1:14" ht="15.75" thickBot="1">
      <c r="A128" s="183"/>
      <c r="B128" s="183"/>
      <c r="C128" s="184"/>
      <c r="D128" s="7"/>
      <c r="E128" s="7"/>
      <c r="H128" s="185"/>
      <c r="I128" s="185"/>
      <c r="J128" s="185"/>
      <c r="K128" s="185"/>
      <c r="L128" s="185"/>
      <c r="M128" s="185"/>
      <c r="N128" s="185"/>
    </row>
    <row r="129" spans="1:16" ht="15" customHeight="1">
      <c r="A129" s="2474" t="s">
        <v>84</v>
      </c>
      <c r="B129" s="2481" t="s">
        <v>179</v>
      </c>
      <c r="C129" s="1824" t="s">
        <v>9</v>
      </c>
      <c r="D129" s="1758" t="s">
        <v>85</v>
      </c>
      <c r="E129" s="1825"/>
      <c r="F129" s="1825"/>
      <c r="G129" s="1759"/>
      <c r="H129" s="185"/>
      <c r="I129" s="185"/>
      <c r="J129" s="185"/>
      <c r="K129" s="185"/>
      <c r="L129" s="185"/>
      <c r="M129" s="185"/>
      <c r="N129" s="185"/>
    </row>
    <row r="130" spans="1:16" ht="77.25" customHeight="1">
      <c r="A130" s="2406"/>
      <c r="B130" s="1912"/>
      <c r="C130" s="1797"/>
      <c r="D130" s="166" t="s">
        <v>86</v>
      </c>
      <c r="E130" s="193" t="s">
        <v>87</v>
      </c>
      <c r="F130" s="167" t="s">
        <v>88</v>
      </c>
      <c r="G130" s="194" t="s">
        <v>13</v>
      </c>
      <c r="H130" s="185"/>
      <c r="I130" s="185"/>
      <c r="J130" s="185"/>
      <c r="K130" s="185"/>
      <c r="L130" s="185"/>
      <c r="M130" s="185"/>
      <c r="N130" s="185"/>
    </row>
    <row r="131" spans="1:16" ht="15" customHeight="1">
      <c r="A131" s="2408" t="s">
        <v>585</v>
      </c>
      <c r="B131" s="1855"/>
      <c r="C131" s="106">
        <v>2015</v>
      </c>
      <c r="D131" s="30"/>
      <c r="E131" s="31"/>
      <c r="F131" s="31"/>
      <c r="G131" s="195">
        <v>0</v>
      </c>
      <c r="H131" s="185"/>
      <c r="I131" s="185"/>
      <c r="J131" s="185"/>
      <c r="K131" s="185"/>
      <c r="L131" s="185"/>
      <c r="M131" s="185"/>
      <c r="N131" s="185"/>
    </row>
    <row r="132" spans="1:16">
      <c r="A132" s="2378"/>
      <c r="B132" s="1855"/>
      <c r="C132" s="110">
        <v>2016</v>
      </c>
      <c r="D132" s="37">
        <v>0</v>
      </c>
      <c r="E132" s="38">
        <v>0</v>
      </c>
      <c r="F132" s="38">
        <v>0</v>
      </c>
      <c r="G132" s="195">
        <v>0</v>
      </c>
      <c r="H132" s="185"/>
      <c r="I132" s="185"/>
      <c r="J132" s="185"/>
      <c r="K132" s="185"/>
      <c r="L132" s="185"/>
      <c r="M132" s="185"/>
      <c r="N132" s="185"/>
    </row>
    <row r="133" spans="1:16">
      <c r="A133" s="2378"/>
      <c r="B133" s="1855"/>
      <c r="C133" s="110">
        <v>2017</v>
      </c>
      <c r="D133" s="37">
        <v>0</v>
      </c>
      <c r="E133" s="38">
        <v>0</v>
      </c>
      <c r="F133" s="38">
        <v>0</v>
      </c>
      <c r="G133" s="195">
        <v>0</v>
      </c>
      <c r="H133" s="185"/>
      <c r="I133" s="185"/>
      <c r="J133" s="185"/>
      <c r="K133" s="185"/>
      <c r="L133" s="185"/>
      <c r="M133" s="185"/>
      <c r="N133" s="185"/>
    </row>
    <row r="134" spans="1:16">
      <c r="A134" s="2378"/>
      <c r="B134" s="1855"/>
      <c r="C134" s="110">
        <v>2018</v>
      </c>
      <c r="D134" s="37"/>
      <c r="E134" s="38"/>
      <c r="F134" s="38"/>
      <c r="G134" s="195">
        <v>0</v>
      </c>
      <c r="H134" s="185"/>
      <c r="I134" s="185"/>
      <c r="J134" s="185"/>
      <c r="K134" s="185"/>
      <c r="L134" s="185"/>
      <c r="M134" s="185"/>
      <c r="N134" s="185"/>
    </row>
    <row r="135" spans="1:16">
      <c r="A135" s="2378"/>
      <c r="B135" s="1855"/>
      <c r="C135" s="110">
        <v>2019</v>
      </c>
      <c r="D135" s="37"/>
      <c r="E135" s="38"/>
      <c r="F135" s="38"/>
      <c r="G135" s="195">
        <v>0</v>
      </c>
      <c r="H135" s="185"/>
      <c r="I135" s="185"/>
      <c r="J135" s="185"/>
      <c r="K135" s="185"/>
      <c r="L135" s="185"/>
      <c r="M135" s="185"/>
      <c r="N135" s="185"/>
    </row>
    <row r="136" spans="1:16">
      <c r="A136" s="2378"/>
      <c r="B136" s="1855"/>
      <c r="C136" s="110">
        <v>2020</v>
      </c>
      <c r="D136" s="37"/>
      <c r="E136" s="38"/>
      <c r="F136" s="38"/>
      <c r="G136" s="195">
        <v>0</v>
      </c>
      <c r="H136" s="185"/>
      <c r="I136" s="185"/>
      <c r="J136" s="185"/>
      <c r="K136" s="185"/>
      <c r="L136" s="185"/>
      <c r="M136" s="185"/>
      <c r="N136" s="185"/>
    </row>
    <row r="137" spans="1:16" ht="17.25" customHeight="1" thickBot="1">
      <c r="A137" s="1856"/>
      <c r="B137" s="1857"/>
      <c r="C137" s="113" t="s">
        <v>13</v>
      </c>
      <c r="D137" s="139">
        <v>0</v>
      </c>
      <c r="E137" s="139">
        <v>0</v>
      </c>
      <c r="F137" s="139">
        <v>0</v>
      </c>
      <c r="G137" s="196">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83" t="s">
        <v>91</v>
      </c>
      <c r="B142" s="2479" t="s">
        <v>179</v>
      </c>
      <c r="C142" s="2484" t="s">
        <v>9</v>
      </c>
      <c r="D142" s="1826" t="s">
        <v>92</v>
      </c>
      <c r="E142" s="1827"/>
      <c r="F142" s="1827"/>
      <c r="G142" s="1827"/>
      <c r="H142" s="1827"/>
      <c r="I142" s="1828"/>
      <c r="J142" s="2475" t="s">
        <v>93</v>
      </c>
      <c r="K142" s="2476"/>
      <c r="L142" s="2476"/>
      <c r="M142" s="2476"/>
      <c r="N142" s="2477"/>
      <c r="O142" s="165"/>
      <c r="P142" s="165"/>
    </row>
    <row r="143" spans="1:16" ht="113.25" customHeight="1">
      <c r="A143" s="2410"/>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408" t="str">
        <f>CONCATENATE('[1]WSS 2015'!B144:B151,'[1]WSS 2016_2017 stan 31.12.2017'!A144:B151)</f>
        <v>Wystąpiła trudnośc podczas przyporządkowywania spotkań/konferencji do poszczególnych rodzajów inicjatyw, ze względu na fakt, iż niektóre programy  spotkań/konferencji dotyczyły więcej niż jednego obszaru , tzw. spotkania łączone. Natomiast w części tabeli wg głównego organizatora jest zbyt mało możliwości wyboru, gdyż głównym organizatorem jest podmiot inny niż wskazany w tej tabeli, np. Parlament Europejski we współpracy z KE i ENRD (ENRD nie była głównym organizatorem), KE we współpracy z ENRD. Jednocześnie niektóre wyjazdy były finansowane z innych środkow niż w ramach funkcjonowania sieci, co utrudnia identyfikację aktywnego udziału przedstawiciela podmiotu, który delegował daną osobę na spotkanie.    Wyjazd 1 osoby z SAR do Brukseli w dn. 30.11-01.12.2016 r. w związku z udziałem w posiedzeniu Zgromadzenia Sieci Obszarów Wiejskich  Udział 1 osoby z BPT w V i VI posiedzeniu Grupy Sterującej ds. ESROW w Brukseli oraz w posiedzeniu Zgromadzenia ESOWSpotkanie w dniach 24-26 kwietnia 2017 roku Sieci Morza Bałtyckiego EFRROW w Helsinkach</v>
      </c>
      <c r="B144" s="1855"/>
      <c r="C144" s="106">
        <v>2014</v>
      </c>
      <c r="D144" s="30"/>
      <c r="E144" s="30"/>
      <c r="F144" s="31"/>
      <c r="G144" s="175"/>
      <c r="H144" s="175"/>
      <c r="I144" s="213">
        <v>0</v>
      </c>
      <c r="J144" s="214"/>
      <c r="K144" s="215"/>
      <c r="L144" s="214"/>
      <c r="M144" s="215"/>
      <c r="N144" s="216"/>
      <c r="O144" s="165"/>
      <c r="P144" s="165"/>
    </row>
    <row r="145" spans="1:16" ht="19.5" customHeight="1">
      <c r="A145" s="2378"/>
      <c r="B145" s="1855"/>
      <c r="C145" s="110">
        <v>2015</v>
      </c>
      <c r="D145" s="37">
        <f>'[1]WSS 2015'!D145</f>
        <v>1</v>
      </c>
      <c r="E145" s="37">
        <f>'[1]WSS 2015'!E145</f>
        <v>2</v>
      </c>
      <c r="F145" s="38">
        <f>'[1]WSS 2015'!F145</f>
        <v>3</v>
      </c>
      <c r="G145" s="178">
        <f>'[1]WSS 2015'!G145</f>
        <v>3</v>
      </c>
      <c r="H145" s="178">
        <f>'[1]WSS 2015'!H145</f>
        <v>2</v>
      </c>
      <c r="I145" s="213">
        <f>'[1]WSS 2015'!I145</f>
        <v>9</v>
      </c>
      <c r="J145" s="217">
        <f>'[1]WSS 2015'!J145</f>
        <v>4</v>
      </c>
      <c r="K145" s="218">
        <f>'[1]WSS 2015'!K145</f>
        <v>1</v>
      </c>
      <c r="L145" s="217">
        <f>'[1]WSS 2015'!L145</f>
        <v>0</v>
      </c>
      <c r="M145" s="218">
        <f>'[1]WSS 2015'!M145</f>
        <v>0</v>
      </c>
      <c r="N145" s="219">
        <f>'[1]WSS 2015'!N145</f>
        <v>0</v>
      </c>
      <c r="O145" s="165"/>
      <c r="P145" s="165"/>
    </row>
    <row r="146" spans="1:16" ht="20.25" customHeight="1">
      <c r="A146" s="2378"/>
      <c r="B146" s="1855"/>
      <c r="C146" s="110">
        <v>2016</v>
      </c>
      <c r="D146" s="37">
        <v>0</v>
      </c>
      <c r="E146" s="37">
        <v>1</v>
      </c>
      <c r="F146" s="38">
        <v>4</v>
      </c>
      <c r="G146" s="178">
        <v>12</v>
      </c>
      <c r="H146" s="178">
        <v>4</v>
      </c>
      <c r="I146" s="213">
        <v>20</v>
      </c>
      <c r="J146" s="217">
        <v>20</v>
      </c>
      <c r="K146" s="218">
        <v>2</v>
      </c>
      <c r="L146" s="217">
        <v>0</v>
      </c>
      <c r="M146" s="218">
        <v>0</v>
      </c>
      <c r="N146" s="219">
        <v>0</v>
      </c>
      <c r="O146" s="165"/>
      <c r="P146" s="165"/>
    </row>
    <row r="147" spans="1:16" ht="17.25" customHeight="1">
      <c r="A147" s="2378"/>
      <c r="B147" s="1855"/>
      <c r="C147" s="110">
        <v>2017</v>
      </c>
      <c r="D147" s="37">
        <v>0</v>
      </c>
      <c r="E147" s="37">
        <v>0</v>
      </c>
      <c r="F147" s="38">
        <v>0</v>
      </c>
      <c r="G147" s="178">
        <v>0</v>
      </c>
      <c r="H147" s="178">
        <v>1</v>
      </c>
      <c r="I147" s="213">
        <v>1</v>
      </c>
      <c r="J147" s="37">
        <v>0</v>
      </c>
      <c r="K147" s="37">
        <v>0</v>
      </c>
      <c r="L147" s="38">
        <v>0</v>
      </c>
      <c r="M147" s="178">
        <v>0</v>
      </c>
      <c r="N147" s="178">
        <v>0</v>
      </c>
      <c r="O147" s="165"/>
      <c r="P147" s="165"/>
    </row>
    <row r="148" spans="1:16" ht="19.5" customHeight="1">
      <c r="A148" s="2378"/>
      <c r="B148" s="1855"/>
      <c r="C148" s="110">
        <v>2018</v>
      </c>
      <c r="D148" s="37"/>
      <c r="E148" s="37"/>
      <c r="F148" s="38"/>
      <c r="G148" s="178"/>
      <c r="H148" s="178"/>
      <c r="I148" s="213">
        <v>0</v>
      </c>
      <c r="J148" s="217"/>
      <c r="K148" s="218"/>
      <c r="L148" s="217"/>
      <c r="M148" s="218"/>
      <c r="N148" s="219"/>
      <c r="O148" s="165"/>
      <c r="P148" s="165"/>
    </row>
    <row r="149" spans="1:16" ht="19.5" customHeight="1">
      <c r="A149" s="2378"/>
      <c r="B149" s="1855"/>
      <c r="C149" s="110">
        <v>2019</v>
      </c>
      <c r="D149" s="37"/>
      <c r="E149" s="37"/>
      <c r="F149" s="38"/>
      <c r="G149" s="178"/>
      <c r="H149" s="178"/>
      <c r="I149" s="213">
        <v>0</v>
      </c>
      <c r="J149" s="217"/>
      <c r="K149" s="218"/>
      <c r="L149" s="217"/>
      <c r="M149" s="218"/>
      <c r="N149" s="219"/>
      <c r="O149" s="165"/>
      <c r="P149" s="165"/>
    </row>
    <row r="150" spans="1:16" ht="18.75" customHeight="1">
      <c r="A150" s="2378"/>
      <c r="B150" s="1855"/>
      <c r="C150" s="110">
        <v>2020</v>
      </c>
      <c r="D150" s="37"/>
      <c r="E150" s="37"/>
      <c r="F150" s="38"/>
      <c r="G150" s="178"/>
      <c r="H150" s="178"/>
      <c r="I150" s="213">
        <v>0</v>
      </c>
      <c r="J150" s="217"/>
      <c r="K150" s="218"/>
      <c r="L150" s="217"/>
      <c r="M150" s="218"/>
      <c r="N150" s="219"/>
      <c r="O150" s="165"/>
      <c r="P150" s="165"/>
    </row>
    <row r="151" spans="1:16" ht="18" customHeight="1" thickBot="1">
      <c r="A151" s="1856"/>
      <c r="B151" s="1857"/>
      <c r="C151" s="113" t="s">
        <v>13</v>
      </c>
      <c r="D151" s="139">
        <v>0</v>
      </c>
      <c r="E151" s="139">
        <v>0</v>
      </c>
      <c r="F151" s="139">
        <v>0</v>
      </c>
      <c r="G151" s="139">
        <v>0</v>
      </c>
      <c r="H151" s="139">
        <v>1</v>
      </c>
      <c r="I151" s="220">
        <v>1</v>
      </c>
      <c r="J151" s="221">
        <v>0</v>
      </c>
      <c r="K151" s="222">
        <v>0</v>
      </c>
      <c r="L151" s="221">
        <v>0</v>
      </c>
      <c r="M151" s="222">
        <v>0</v>
      </c>
      <c r="N151" s="223">
        <v>0</v>
      </c>
      <c r="O151" s="165"/>
      <c r="P151" s="165"/>
    </row>
    <row r="152" spans="1:16" ht="27" customHeight="1" thickBot="1">
      <c r="B152" s="224"/>
      <c r="O152" s="165"/>
      <c r="P152" s="165"/>
    </row>
    <row r="153" spans="1:16" ht="35.25" customHeight="1">
      <c r="A153" s="2478" t="s">
        <v>105</v>
      </c>
      <c r="B153" s="2479" t="s">
        <v>179</v>
      </c>
      <c r="C153" s="2480" t="s">
        <v>9</v>
      </c>
      <c r="D153" s="1829" t="s">
        <v>106</v>
      </c>
      <c r="E153" s="1829"/>
      <c r="F153" s="1830"/>
      <c r="G153" s="1830"/>
      <c r="H153" s="1829" t="s">
        <v>107</v>
      </c>
      <c r="I153" s="1829"/>
      <c r="J153" s="1831"/>
      <c r="K153" s="56"/>
      <c r="L153" s="56"/>
      <c r="M153" s="56"/>
      <c r="N153" s="56"/>
      <c r="O153" s="165"/>
      <c r="P153" s="165"/>
    </row>
    <row r="154" spans="1:16" ht="49.5" customHeight="1">
      <c r="A154" s="2401"/>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408" t="str">
        <f>CONCATENATE('[1]WSS 2015'!B155:B162,'[1]WSS 2016_2017 stan 31.12.2017'!A155:B162)</f>
        <v xml:space="preserve">      </v>
      </c>
      <c r="B155" s="1855"/>
      <c r="C155" s="233">
        <v>2014</v>
      </c>
      <c r="D155" s="214"/>
      <c r="E155" s="175"/>
      <c r="F155" s="215"/>
      <c r="G155" s="213">
        <v>0</v>
      </c>
      <c r="H155" s="214"/>
      <c r="I155" s="175"/>
      <c r="J155" s="176"/>
      <c r="O155" s="165"/>
      <c r="P155" s="165"/>
    </row>
    <row r="156" spans="1:16" ht="19.5" customHeight="1">
      <c r="A156" s="2378"/>
      <c r="B156" s="1855"/>
      <c r="C156" s="234">
        <v>2015</v>
      </c>
      <c r="D156" s="37">
        <f>'[1]WSS 2015'!D156</f>
        <v>0</v>
      </c>
      <c r="E156" s="37">
        <f>'[1]WSS 2015'!E156</f>
        <v>0</v>
      </c>
      <c r="F156" s="218">
        <f>'[1]WSS 2015'!F156</f>
        <v>0</v>
      </c>
      <c r="G156" s="213">
        <f>'[1]WSS 2015'!G156</f>
        <v>0</v>
      </c>
      <c r="H156" s="217">
        <f>'[1]WSS 2015'!H156</f>
        <v>0</v>
      </c>
      <c r="I156" s="178">
        <f>'[1]WSS 2015'!I156</f>
        <v>0</v>
      </c>
      <c r="J156" s="179">
        <f>'[1]WSS 2015'!J156</f>
        <v>0</v>
      </c>
      <c r="O156" s="165"/>
      <c r="P156" s="165"/>
    </row>
    <row r="157" spans="1:16" ht="17.25" customHeight="1">
      <c r="A157" s="2378"/>
      <c r="B157" s="1855"/>
      <c r="C157" s="234">
        <v>2016</v>
      </c>
      <c r="D157" s="37">
        <v>0</v>
      </c>
      <c r="E157" s="178">
        <v>0</v>
      </c>
      <c r="F157" s="218">
        <v>0</v>
      </c>
      <c r="G157" s="213">
        <v>0</v>
      </c>
      <c r="H157" s="217">
        <v>0</v>
      </c>
      <c r="I157" s="178">
        <v>0</v>
      </c>
      <c r="J157" s="179">
        <v>0</v>
      </c>
      <c r="O157" s="165"/>
      <c r="P157" s="165"/>
    </row>
    <row r="158" spans="1:16" ht="15" customHeight="1">
      <c r="A158" s="2378"/>
      <c r="B158" s="1855"/>
      <c r="C158" s="234">
        <v>2017</v>
      </c>
      <c r="D158" s="37">
        <v>0</v>
      </c>
      <c r="E158" s="178">
        <v>0</v>
      </c>
      <c r="F158" s="218">
        <v>0</v>
      </c>
      <c r="G158" s="213">
        <v>0</v>
      </c>
      <c r="H158" s="217">
        <v>0</v>
      </c>
      <c r="I158" s="178">
        <v>0</v>
      </c>
      <c r="J158" s="179">
        <v>0</v>
      </c>
      <c r="O158" s="165"/>
      <c r="P158" s="165"/>
    </row>
    <row r="159" spans="1:16" ht="19.5" customHeight="1">
      <c r="A159" s="2378"/>
      <c r="B159" s="1855"/>
      <c r="C159" s="234">
        <v>2018</v>
      </c>
      <c r="D159" s="217"/>
      <c r="E159" s="178"/>
      <c r="F159" s="218"/>
      <c r="G159" s="213">
        <v>0</v>
      </c>
      <c r="H159" s="217"/>
      <c r="I159" s="178"/>
      <c r="J159" s="179"/>
      <c r="O159" s="165"/>
      <c r="P159" s="165"/>
    </row>
    <row r="160" spans="1:16" ht="15" customHeight="1">
      <c r="A160" s="2378"/>
      <c r="B160" s="1855"/>
      <c r="C160" s="234">
        <v>2019</v>
      </c>
      <c r="D160" s="217"/>
      <c r="E160" s="178"/>
      <c r="F160" s="218"/>
      <c r="G160" s="213">
        <v>0</v>
      </c>
      <c r="H160" s="217"/>
      <c r="I160" s="178"/>
      <c r="J160" s="179"/>
      <c r="O160" s="165"/>
      <c r="P160" s="165"/>
    </row>
    <row r="161" spans="1:18" ht="17.25" customHeight="1">
      <c r="A161" s="2378"/>
      <c r="B161" s="1855"/>
      <c r="C161" s="234">
        <v>2020</v>
      </c>
      <c r="D161" s="217"/>
      <c r="E161" s="178"/>
      <c r="F161" s="218"/>
      <c r="G161" s="213">
        <v>0</v>
      </c>
      <c r="H161" s="217"/>
      <c r="I161" s="178"/>
      <c r="J161" s="179"/>
      <c r="O161" s="165"/>
      <c r="P161" s="165"/>
    </row>
    <row r="162" spans="1:18" ht="15.75" thickBot="1">
      <c r="A162" s="1856"/>
      <c r="B162" s="1857"/>
      <c r="C162" s="235" t="s">
        <v>13</v>
      </c>
      <c r="D162" s="221">
        <v>0</v>
      </c>
      <c r="E162" s="181">
        <v>0</v>
      </c>
      <c r="F162" s="222">
        <v>0</v>
      </c>
      <c r="G162" s="222">
        <v>0</v>
      </c>
      <c r="H162" s="221">
        <v>0</v>
      </c>
      <c r="I162" s="181">
        <v>0</v>
      </c>
      <c r="J162" s="236">
        <v>0</v>
      </c>
    </row>
    <row r="163" spans="1:18" ht="24.75" customHeight="1" thickBot="1">
      <c r="A163" s="237"/>
      <c r="B163" s="238"/>
      <c r="C163" s="239"/>
      <c r="D163" s="165"/>
      <c r="E163" s="1832"/>
      <c r="F163" s="165"/>
      <c r="G163" s="165"/>
      <c r="H163" s="165"/>
      <c r="I163" s="165"/>
      <c r="J163" s="241"/>
      <c r="K163" s="242"/>
    </row>
    <row r="164" spans="1:18" ht="95.25" customHeight="1">
      <c r="A164" s="1760" t="s">
        <v>115</v>
      </c>
      <c r="B164" s="405" t="s">
        <v>181</v>
      </c>
      <c r="C164" s="1567" t="s">
        <v>9</v>
      </c>
      <c r="D164" s="246" t="s">
        <v>117</v>
      </c>
      <c r="E164" s="246" t="s">
        <v>118</v>
      </c>
      <c r="F164" s="1833" t="s">
        <v>119</v>
      </c>
      <c r="G164" s="246" t="s">
        <v>120</v>
      </c>
      <c r="H164" s="246" t="s">
        <v>121</v>
      </c>
      <c r="I164" s="248" t="s">
        <v>122</v>
      </c>
      <c r="J164" s="1761" t="s">
        <v>123</v>
      </c>
      <c r="K164" s="1761" t="s">
        <v>124</v>
      </c>
      <c r="L164" s="1721"/>
    </row>
    <row r="165" spans="1:18" ht="15.75" customHeight="1">
      <c r="A165" s="2408" t="str">
        <f>CONCATENATE('[1]WSS 2015'!B165:B172,'[1]WSS 2016_2017 stan 31.12.2017'!A165:B172)</f>
        <v xml:space="preserve">      </v>
      </c>
      <c r="B165" s="1855"/>
      <c r="C165" s="251">
        <v>2014</v>
      </c>
      <c r="D165" s="175"/>
      <c r="E165" s="175"/>
      <c r="F165" s="175"/>
      <c r="G165" s="175"/>
      <c r="H165" s="175"/>
      <c r="I165" s="176"/>
      <c r="J165" s="1683">
        <v>0</v>
      </c>
      <c r="K165" s="253">
        <v>0</v>
      </c>
      <c r="L165" s="1721"/>
    </row>
    <row r="166" spans="1:18">
      <c r="A166" s="2378"/>
      <c r="B166" s="1855"/>
      <c r="C166" s="254">
        <v>2015</v>
      </c>
      <c r="D166" s="37">
        <f>'[1]WSS 2015'!D166</f>
        <v>0</v>
      </c>
      <c r="E166" s="37">
        <f>'[1]WSS 2015'!E166</f>
        <v>0</v>
      </c>
      <c r="F166" s="255">
        <f>'[1]WSS 2015'!F166</f>
        <v>0</v>
      </c>
      <c r="G166" s="255">
        <f>'[1]WSS 2015'!G166</f>
        <v>0</v>
      </c>
      <c r="H166" s="255">
        <f>'[1]WSS 2015'!H166</f>
        <v>0</v>
      </c>
      <c r="I166" s="256">
        <f>'[1]WSS 2015'!I166</f>
        <v>0</v>
      </c>
      <c r="J166" s="1684">
        <f>'[1]WSS 2015'!J166</f>
        <v>0</v>
      </c>
      <c r="K166" s="408">
        <f>'[1]WSS 2015'!K166</f>
        <v>0</v>
      </c>
      <c r="L166" s="1721"/>
    </row>
    <row r="167" spans="1:18">
      <c r="A167" s="2378"/>
      <c r="B167" s="1855"/>
      <c r="C167" s="254">
        <v>2016</v>
      </c>
      <c r="D167" s="37">
        <v>0</v>
      </c>
      <c r="E167" s="37">
        <v>0</v>
      </c>
      <c r="F167" s="37">
        <v>0</v>
      </c>
      <c r="G167" s="37">
        <v>0</v>
      </c>
      <c r="H167" s="37">
        <v>0</v>
      </c>
      <c r="I167" s="37">
        <v>0</v>
      </c>
      <c r="J167" s="37">
        <v>0</v>
      </c>
      <c r="K167" s="37">
        <v>0</v>
      </c>
    </row>
    <row r="168" spans="1:18">
      <c r="A168" s="2378"/>
      <c r="B168" s="1855"/>
      <c r="C168" s="254">
        <v>2017</v>
      </c>
      <c r="D168" s="37">
        <v>0</v>
      </c>
      <c r="E168" s="37">
        <v>0</v>
      </c>
      <c r="F168" s="37">
        <v>0</v>
      </c>
      <c r="G168" s="37">
        <v>0</v>
      </c>
      <c r="H168" s="37">
        <v>0</v>
      </c>
      <c r="I168" s="37">
        <v>0</v>
      </c>
      <c r="J168" s="37">
        <v>0</v>
      </c>
      <c r="K168" s="37">
        <v>0</v>
      </c>
    </row>
    <row r="169" spans="1:18">
      <c r="A169" s="2378"/>
      <c r="B169" s="1855"/>
      <c r="C169" s="262">
        <v>2018</v>
      </c>
      <c r="D169" s="255"/>
      <c r="E169" s="255"/>
      <c r="F169" s="255"/>
      <c r="G169" s="263"/>
      <c r="H169" s="255"/>
      <c r="I169" s="256"/>
      <c r="J169" s="1684">
        <v>0</v>
      </c>
      <c r="K169" s="408">
        <v>0</v>
      </c>
      <c r="L169" s="1721"/>
    </row>
    <row r="170" spans="1:18">
      <c r="A170" s="2378"/>
      <c r="B170" s="1855"/>
      <c r="C170" s="254">
        <v>2019</v>
      </c>
      <c r="D170" s="165"/>
      <c r="E170" s="255"/>
      <c r="F170" s="255"/>
      <c r="G170" s="255"/>
      <c r="H170" s="263"/>
      <c r="I170" s="256"/>
      <c r="J170" s="1684">
        <v>0</v>
      </c>
      <c r="K170" s="408">
        <v>0</v>
      </c>
      <c r="L170" s="1721"/>
    </row>
    <row r="171" spans="1:18">
      <c r="A171" s="2378"/>
      <c r="B171" s="1855"/>
      <c r="C171" s="262">
        <v>2020</v>
      </c>
      <c r="D171" s="255"/>
      <c r="E171" s="255"/>
      <c r="F171" s="255"/>
      <c r="G171" s="255"/>
      <c r="H171" s="255"/>
      <c r="I171" s="256"/>
      <c r="J171" s="1684">
        <v>0</v>
      </c>
      <c r="K171" s="408">
        <v>0</v>
      </c>
      <c r="L171" s="1721"/>
    </row>
    <row r="172" spans="1:18" ht="41.25" customHeight="1" thickBot="1">
      <c r="A172" s="1856"/>
      <c r="B172" s="1857"/>
      <c r="C172" s="265" t="s">
        <v>13</v>
      </c>
      <c r="D172" s="181">
        <v>0</v>
      </c>
      <c r="E172" s="181">
        <v>0</v>
      </c>
      <c r="F172" s="181">
        <v>0</v>
      </c>
      <c r="G172" s="181">
        <v>0</v>
      </c>
      <c r="H172" s="181">
        <v>0</v>
      </c>
      <c r="I172" s="409">
        <v>0</v>
      </c>
      <c r="J172" s="410">
        <v>0</v>
      </c>
      <c r="K172" s="221">
        <v>0</v>
      </c>
      <c r="L172" s="172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468" t="s">
        <v>127</v>
      </c>
      <c r="B176" s="2466" t="s">
        <v>182</v>
      </c>
      <c r="C176" s="2470" t="s">
        <v>9</v>
      </c>
      <c r="D176" s="1762" t="s">
        <v>128</v>
      </c>
      <c r="E176" s="1834"/>
      <c r="F176" s="1834"/>
      <c r="G176" s="1835"/>
      <c r="H176" s="1763"/>
      <c r="I176" s="2392" t="s">
        <v>129</v>
      </c>
      <c r="J176" s="2464"/>
      <c r="K176" s="2464"/>
      <c r="L176" s="2464"/>
      <c r="M176" s="2464"/>
      <c r="N176" s="2464"/>
      <c r="O176" s="2465"/>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408" t="str">
        <f>CONCATENATE('[1]WSS 2015'!B178:B185,'[1]WSS 2016_2017 stan 31.12.2017'!A178:B185)</f>
        <v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1. Szkolenie uzupełniające dla doradców rolnośrodowiskowych i eskpertów przyrodniczych 2. Spotkanie informacyjne dla kadry zarządzającej jednostkami doradztwa rolniczego (nie było finansowane z PK) * Szkolenia z zakresu pierwszej pomocy skierowane były do właścicieli zagród edukacyjnych, członków ich rodzin oraz osób zainteresowanych zarejestrowaniem swojej zagrody edukacyjnej w Ogólnopolskiej Sieci Zagród Edukacyjnych. Odbyły się w 11 następujących województwach: dolnośląskim, lubelskim, lubuskim, łódzkim, mazowieckim, opolskim, podkarpackim, śląskim, świętokrzyskim, wielkopolskim oraz zachodniopomorskim. Szkolenia odbyły się w siedzibach wojewódzkich ośrodków doradztwa rolniczego, były to szkolenia jednodniowe  DPB
1. Szkolenie dotycząse w drażania Działania rolno-środowiskowoo-klimatycznego i Działania Rolnictwo ekologiczne w ramach PROW 2014-2020 od 2017 r. (13.04)                                                                                                                                                                                                                                                                                                                     2. Zasoby genetyczne w rolnictwie (15-16.11) 
SAR
Szkolenia dla doradców świadczących doradztwo w ramach PROW 2014-2020 ( 137 szkoleń stacjonarnych i 3 szkolenie e-learningowe, wykzane w poz."Inne". Liczba dni szkoleniowych nie dotyczy poz. "Inne")
DROW
1.  2 cykle dwudniowych warsztatów, z których każdy składał się z 8 warsztatów;
2. 1 cykl jednodniowych warsztatów składający się z 8 spotkań;
3. 2 jednodniowe szkolenia;
SAR
Zorganizowano: A- Szkolenia z zakresu pierwszej pomocy skierowane były do właścicieli zagród edukacyjnych, członków ich rodzin oraz osób zainteresowanych zarejestrowaniem swojej zagrody edukacyjnej w Ogólnopolskiej Sieci Zagród Edukacyjnych. Odbyły się w 5 następujących województwach: kujawsko-pomorskim, małopolskim, podlaskim, pomorskim, warmińsko-mazurskim. Szkolenia odbyły się w siedzibach wojewódzkich ośrodków doradztwa rolniczego, były to szkolenia jednodniowe; oraz B - trzydniowe szkolenie dla koordynatorów Ogólnopolskiej Sieci Zagród Edukacyjnych. 
1. Spotkanie dotyczące palnownaych zmian przepisów rozporządzeń MRiRW w zakresie Działania rolno-środowiskowo-klimatycznego i działania Rolnictwo Ekologiczne w ramach PROW 2014-2020 (W-wa 26.07);                                                                                                                                                                                   2.Konferencja pt. Wdrażanie Krajowej Strategii zrównoważonego użytkowania i ochrony zasobów genetycznych zwierząt gospodarskich: osiągnięcia i wyzwania,,  (Kraków 19.10);                                                                                                                                                                                                                            3.Konferencja „Rasy rodzime gwarantem produktów wysokiej jakości” (Nadarzyn 01.12);                                                                                                           4.Wspólne posiedzenie Komitetu ds. Funduszy Rolniczych i Komitetu ds. Rozwoju Obszarów Wiejskich (Bruksela 14.06);                                                        5. Komitet ds. Rozwoju Obszarów Wiejskich ( Bruksela 04.10);                                                                                                                                                                                              6. Warsztaty pn. "Opracowanie raportu z wdrażania Konwencji Ramsarskie"  (Wożnawieś 12-13.09);                                                                                       7.Warsztaty pt. "Natura 2000: efektywne wykorzystanie możliwości wsparcia w ramach polityki rozwoju obszarów wiejskich" (Bruksela 28.09);
8.  Szkolenie dla doradców rolnośrodowiskowych (Radom 08.02);
9.  Konferencja PROW 2014-2020 (Sokółka 13.05);
10.  Międzynarodowe Targi Rolno-Przemysłowe AGRO – TECH (Minikowo 30.06.-02.07);
11. Konferencja „Upowszechnianie wiedzy w zakresie jakości żywności”(Łódź 12.10);                                                                                                                                                                                                                                                                                                                                                                                       12. Targi: Regionalna Wystawa Zwierząt Hodowlanych (Szepietowo 24-25.06.2017);                                                                                                                                                                                                                                                                                                                                                                                              13.Seminarium dotyczącego realizacji działania „Zalesianie i tworzenie terenów zalesionych” objętego Programem Rozwoju Obszarów Wiejskich na lata 2014-2020, w terminie  12 grudnia 2017 roku. </v>
      </c>
      <c r="B178" s="1855"/>
      <c r="C178" s="106">
        <v>2014</v>
      </c>
      <c r="D178" s="30"/>
      <c r="E178" s="31"/>
      <c r="F178" s="31"/>
      <c r="G178" s="284">
        <v>0</v>
      </c>
      <c r="H178" s="155"/>
      <c r="I178" s="155"/>
      <c r="J178" s="31"/>
      <c r="K178" s="31"/>
      <c r="L178" s="31"/>
      <c r="M178" s="31"/>
      <c r="N178" s="31"/>
      <c r="O178" s="34"/>
    </row>
    <row r="179" spans="1:15">
      <c r="A179" s="2378"/>
      <c r="B179" s="1855"/>
      <c r="C179" s="110">
        <v>2015</v>
      </c>
      <c r="D179" s="37">
        <f>'[1]WSS 2015'!D179</f>
        <v>0</v>
      </c>
      <c r="E179" s="37">
        <f>'[1]WSS 2015'!E179</f>
        <v>1</v>
      </c>
      <c r="F179" s="38">
        <f>'[1]WSS 2015'!F179</f>
        <v>0</v>
      </c>
      <c r="G179" s="284">
        <f>'[1]WSS 2015'!G179</f>
        <v>1</v>
      </c>
      <c r="H179" s="411">
        <f>'[1]WSS 2015'!H179</f>
        <v>3</v>
      </c>
      <c r="I179" s="112">
        <f>'[1]WSS 2015'!I179</f>
        <v>0</v>
      </c>
      <c r="J179" s="38">
        <f>'[1]WSS 2015'!J179</f>
        <v>1</v>
      </c>
      <c r="K179" s="38">
        <f>'[1]WSS 2015'!K179</f>
        <v>0</v>
      </c>
      <c r="L179" s="38">
        <f>'[1]WSS 2015'!L179</f>
        <v>0</v>
      </c>
      <c r="M179" s="38">
        <f>'[1]WSS 2015'!M179</f>
        <v>0</v>
      </c>
      <c r="N179" s="38">
        <f>'[1]WSS 2015'!N179</f>
        <v>0</v>
      </c>
      <c r="O179" s="88">
        <f>'[1]WSS 2015'!O179</f>
        <v>0</v>
      </c>
    </row>
    <row r="180" spans="1:15">
      <c r="A180" s="2378"/>
      <c r="B180" s="1855"/>
      <c r="C180" s="110">
        <v>2016</v>
      </c>
      <c r="D180" s="37">
        <v>30</v>
      </c>
      <c r="E180" s="38">
        <v>1</v>
      </c>
      <c r="F180" s="38">
        <v>5</v>
      </c>
      <c r="G180" s="284">
        <v>36</v>
      </c>
      <c r="H180" s="411">
        <v>51</v>
      </c>
      <c r="I180" s="112">
        <v>1</v>
      </c>
      <c r="J180" s="38">
        <v>1</v>
      </c>
      <c r="K180" s="38">
        <v>12</v>
      </c>
      <c r="L180" s="38">
        <v>11</v>
      </c>
      <c r="M180" s="38">
        <v>0</v>
      </c>
      <c r="N180" s="38">
        <v>0</v>
      </c>
      <c r="O180" s="88">
        <v>11</v>
      </c>
    </row>
    <row r="181" spans="1:15">
      <c r="A181" s="2378"/>
      <c r="B181" s="1855"/>
      <c r="C181" s="110">
        <v>2017</v>
      </c>
      <c r="D181" s="37">
        <v>184</v>
      </c>
      <c r="E181" s="38">
        <v>0</v>
      </c>
      <c r="F181" s="38">
        <v>0</v>
      </c>
      <c r="G181" s="284">
        <v>184</v>
      </c>
      <c r="H181" s="411">
        <v>408</v>
      </c>
      <c r="I181" s="112">
        <v>139</v>
      </c>
      <c r="J181" s="38">
        <v>0</v>
      </c>
      <c r="K181" s="38">
        <v>7</v>
      </c>
      <c r="L181" s="38">
        <v>6</v>
      </c>
      <c r="M181" s="38">
        <v>26</v>
      </c>
      <c r="N181" s="38">
        <v>0</v>
      </c>
      <c r="O181" s="38">
        <v>6</v>
      </c>
    </row>
    <row r="182" spans="1:15">
      <c r="A182" s="2378"/>
      <c r="B182" s="1855"/>
      <c r="C182" s="110">
        <v>2018</v>
      </c>
      <c r="D182" s="37"/>
      <c r="E182" s="38"/>
      <c r="F182" s="38"/>
      <c r="G182" s="284">
        <v>0</v>
      </c>
      <c r="H182" s="411"/>
      <c r="I182" s="112"/>
      <c r="J182" s="38"/>
      <c r="K182" s="38"/>
      <c r="L182" s="38"/>
      <c r="M182" s="38"/>
      <c r="N182" s="38"/>
      <c r="O182" s="88"/>
    </row>
    <row r="183" spans="1:15">
      <c r="A183" s="2378"/>
      <c r="B183" s="1855"/>
      <c r="C183" s="110">
        <v>2019</v>
      </c>
      <c r="D183" s="37"/>
      <c r="E183" s="38"/>
      <c r="F183" s="38"/>
      <c r="G183" s="284">
        <v>0</v>
      </c>
      <c r="H183" s="411"/>
      <c r="I183" s="112"/>
      <c r="J183" s="38"/>
      <c r="K183" s="38"/>
      <c r="L183" s="38"/>
      <c r="M183" s="38"/>
      <c r="N183" s="38"/>
      <c r="O183" s="88"/>
    </row>
    <row r="184" spans="1:15">
      <c r="A184" s="2378"/>
      <c r="B184" s="1855"/>
      <c r="C184" s="110">
        <v>2020</v>
      </c>
      <c r="D184" s="37"/>
      <c r="E184" s="38"/>
      <c r="F184" s="38"/>
      <c r="G184" s="284">
        <v>0</v>
      </c>
      <c r="H184" s="411"/>
      <c r="I184" s="112"/>
      <c r="J184" s="38"/>
      <c r="K184" s="38"/>
      <c r="L184" s="38"/>
      <c r="M184" s="38"/>
      <c r="N184" s="38"/>
      <c r="O184" s="88"/>
    </row>
    <row r="185" spans="1:15" ht="124.5" customHeight="1" thickBot="1">
      <c r="A185" s="1856"/>
      <c r="B185" s="1857"/>
      <c r="C185" s="113" t="s">
        <v>13</v>
      </c>
      <c r="D185" s="139">
        <v>190</v>
      </c>
      <c r="E185" s="116">
        <v>0</v>
      </c>
      <c r="F185" s="116">
        <v>3</v>
      </c>
      <c r="G185" s="220">
        <v>193</v>
      </c>
      <c r="H185" s="285">
        <v>413</v>
      </c>
      <c r="I185" s="115">
        <v>0</v>
      </c>
      <c r="J185" s="116">
        <v>0</v>
      </c>
      <c r="K185" s="116">
        <v>7</v>
      </c>
      <c r="L185" s="116">
        <v>6</v>
      </c>
      <c r="M185" s="116">
        <v>26</v>
      </c>
      <c r="N185" s="116">
        <v>0</v>
      </c>
      <c r="O185" s="117">
        <v>6</v>
      </c>
    </row>
    <row r="186" spans="1:15" ht="33" customHeight="1" thickBot="1"/>
    <row r="187" spans="1:15" ht="19.5" customHeight="1">
      <c r="A187" s="2379" t="s">
        <v>137</v>
      </c>
      <c r="B187" s="2466" t="s">
        <v>182</v>
      </c>
      <c r="C187" s="1865" t="s">
        <v>9</v>
      </c>
      <c r="D187" s="1867" t="s">
        <v>138</v>
      </c>
      <c r="E187" s="2467"/>
      <c r="F187" s="2467"/>
      <c r="G187" s="2382"/>
      <c r="H187" s="2383" t="s">
        <v>139</v>
      </c>
      <c r="I187" s="1865"/>
      <c r="J187" s="1865"/>
      <c r="K187" s="1865"/>
      <c r="L187" s="1871"/>
    </row>
    <row r="188" spans="1:15" ht="115.5">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408" t="str">
        <f>CONCATENATE('[1]WSS 2015'!B189:B196,'[1]WSS 2016_2017 stan 31.12.2017'!A189:B196)</f>
        <v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 W szkoleniach brali udział właściciele Zagród Edukacyjnych zagród edukacyjnych, członkowie ich rodzin oraz osoby zainteresowane zarejestrowaniem swojej zagrody edukacyjnej w Ogólnopolskiej Sieci Zagród Edukacyjnych.  DPB
1. Szkolenie dotycząse w drażania Działania rolno-środowiskowoo-klimatycznego i Działania Rolnictwo ekologiczne w ramach PROW 2014-2020 od 2017 r. (13.04)                                                                                                                                                                                                                                                                                                                     2. Zasoby genetyczne w rolnictwie (15-16.11)  
SAR
Szkolenia dla doradców świadczących doradztwo w ramach PROW 2014-2020
DROW
1.  543 uczestników 2 cykli dwudniowych warsztatów, z których każdy składał się z 8 warsztatów;
2. 253 uczestników 1 cyklu jednodniowych warsztatów składającego się z 8 spotkań;
3. 50 uczestników 2 jednodniowych szkoleń;
SAR
W szkoleniach z zakresu pierwszej pomocy brali udział właściciele zagród edukacyjnych, członkowie ich rodzin oraz osoby zainteresowane zarejestrowaniem swojej zagrody edukacyjnej w Ogólnopolskiej Sieci Zagród Edukacyjnych. W szkoleniu dla koordynatorów Sieci Zagród brali udział doradcy zatrudnieni w ODR oraz inne osoby zaangażowane w OSZE (pracownicy MRiRW oraz eksperci).
1. Spotkanie dotyczące palnownaych zmian przepisów rozporządzeń MRiRW w zakresie Działania rolno-środowiskowo-klimatycznego i działania Rolnictwo Ekologiczne w ramach PROW 2014-2020 (W-wa 26.07);                                                                                                                                                                                   2.Konferencja pt. Wdrażanie Krajowej Strategii zrównoważonego użytkowania i ochrony zasobów genetycznych zwierząt gospodarskich: osiągnięcia i wyzwania,,  (Kraków 19.10);                                                                                                                                                                                                                            3.Konferencja „Rasy rodzime gwarantem produktów wysokiej jakości” (Nadarzyn 01.12);                                                                                                           4.Wspólne posiedzenie Komitetu ds. Funduszy Rolniczych i Komitetu ds. Rozwoju Obszarów Wiejskich (Bruksela 14.06);                                                        5. Komitet ds. Rozwoju Obszarów Wiejskich ( Bruksela 04.10);
6. Warsztaty pn. "Opracowanie raportu z wdrażania Konwencji Ramsarskie"  (Wożnawieś 12-13.09);                                                                                       7.Warsztaty pt. "Natura 2000: efektywne wykorzystanie możliwości wsparcia w ramach polityki rozwoju obszarów wiejskich" (Bruksela 28.09);   8.  Szkolenie dla doradców rolnośrodowiskowych (Radom 08.02);
9.  Konferencja PROW 2014-2020 (Sokółka 13.05);
10.  Międzynarodowe Targi Rolno-Przemysłowe AGRO – TECH (Minikowo 30.06.-02.07);
11. Konferencja „Upowszechnianie wiedzy w zakresie jakości żywności”(Łódź 12.10);                                                                                                                                                                                                                                                                                                                                                                                  12. Targi: Regionalna Wystawa Zwierząt Hodowlanych (Szepietowo 24-25.06.2017);                                                                                                                                                                                                                                                                                                                                                                                                 13. Seminarium dotyczącego realizacji działania „Zalesianie i tworzenie terenów zalesionych” objętego Programem Rozwoju Obszarów Wiejskich na lata 2014-2020, w terminie  12 grudnia 2017 roku.</v>
      </c>
      <c r="B189" s="1855"/>
      <c r="C189" s="290">
        <v>2014</v>
      </c>
      <c r="D189" s="133"/>
      <c r="E189" s="109"/>
      <c r="F189" s="109"/>
      <c r="G189" s="291">
        <v>0</v>
      </c>
      <c r="H189" s="108"/>
      <c r="I189" s="109"/>
      <c r="J189" s="109"/>
      <c r="K189" s="109"/>
      <c r="L189" s="134"/>
    </row>
    <row r="190" spans="1:15">
      <c r="A190" s="2378"/>
      <c r="B190" s="1855"/>
      <c r="C190" s="73">
        <v>2015</v>
      </c>
      <c r="D190" s="37">
        <f>'[1]WSS 2015'!D190</f>
        <v>0</v>
      </c>
      <c r="E190" s="37">
        <f>'[1]WSS 2015'!E190</f>
        <v>29</v>
      </c>
      <c r="F190" s="38">
        <f>'[1]WSS 2015'!F190</f>
        <v>0</v>
      </c>
      <c r="G190" s="291">
        <f>'[1]WSS 2015'!G190</f>
        <v>29</v>
      </c>
      <c r="H190" s="112">
        <f>'[1]WSS 2015'!H190</f>
        <v>29</v>
      </c>
      <c r="I190" s="38">
        <f>'[1]WSS 2015'!I190</f>
        <v>0</v>
      </c>
      <c r="J190" s="38">
        <f>'[1]WSS 2015'!J190</f>
        <v>0</v>
      </c>
      <c r="K190" s="38">
        <f>'[1]WSS 2015'!K190</f>
        <v>0</v>
      </c>
      <c r="L190" s="88">
        <f>'[1]WSS 2015'!L190</f>
        <v>0</v>
      </c>
    </row>
    <row r="191" spans="1:15">
      <c r="A191" s="2378"/>
      <c r="B191" s="1855"/>
      <c r="C191" s="73">
        <v>2016</v>
      </c>
      <c r="D191" s="37">
        <v>3751</v>
      </c>
      <c r="E191" s="38">
        <v>34</v>
      </c>
      <c r="F191" s="38">
        <v>61</v>
      </c>
      <c r="G191" s="291">
        <v>3846</v>
      </c>
      <c r="H191" s="112">
        <v>104</v>
      </c>
      <c r="I191" s="38">
        <v>388</v>
      </c>
      <c r="J191" s="38">
        <v>2148</v>
      </c>
      <c r="K191" s="38">
        <v>65</v>
      </c>
      <c r="L191" s="88">
        <v>1141</v>
      </c>
    </row>
    <row r="192" spans="1:15">
      <c r="A192" s="2378"/>
      <c r="B192" s="1855"/>
      <c r="C192" s="73">
        <v>2017</v>
      </c>
      <c r="D192" s="37">
        <v>4569</v>
      </c>
      <c r="E192" s="38">
        <v>0</v>
      </c>
      <c r="F192" s="38">
        <v>0</v>
      </c>
      <c r="G192" s="291">
        <v>4569</v>
      </c>
      <c r="H192" s="112">
        <v>101</v>
      </c>
      <c r="I192" s="38">
        <v>846</v>
      </c>
      <c r="J192" s="38">
        <v>3416</v>
      </c>
      <c r="K192" s="38">
        <v>0</v>
      </c>
      <c r="L192" s="88">
        <v>206</v>
      </c>
    </row>
    <row r="193" spans="1:14">
      <c r="A193" s="2378"/>
      <c r="B193" s="1855"/>
      <c r="C193" s="73">
        <v>2018</v>
      </c>
      <c r="D193" s="37"/>
      <c r="E193" s="38"/>
      <c r="F193" s="38"/>
      <c r="G193" s="291">
        <v>0</v>
      </c>
      <c r="H193" s="112"/>
      <c r="I193" s="38"/>
      <c r="J193" s="38"/>
      <c r="K193" s="38"/>
      <c r="L193" s="88"/>
    </row>
    <row r="194" spans="1:14">
      <c r="A194" s="2378"/>
      <c r="B194" s="1855"/>
      <c r="C194" s="73">
        <v>2019</v>
      </c>
      <c r="D194" s="37"/>
      <c r="E194" s="38"/>
      <c r="F194" s="38"/>
      <c r="G194" s="291">
        <v>0</v>
      </c>
      <c r="H194" s="112"/>
      <c r="I194" s="38"/>
      <c r="J194" s="38"/>
      <c r="K194" s="38"/>
      <c r="L194" s="88"/>
    </row>
    <row r="195" spans="1:14">
      <c r="A195" s="2378"/>
      <c r="B195" s="1855"/>
      <c r="C195" s="73">
        <v>2020</v>
      </c>
      <c r="D195" s="37"/>
      <c r="E195" s="38"/>
      <c r="F195" s="38"/>
      <c r="G195" s="291">
        <v>0</v>
      </c>
      <c r="H195" s="112"/>
      <c r="I195" s="38"/>
      <c r="J195" s="38"/>
      <c r="K195" s="38"/>
      <c r="L195" s="88"/>
    </row>
    <row r="196" spans="1:14" ht="111.75" customHeight="1" thickBot="1">
      <c r="A196" s="1856"/>
      <c r="B196" s="1857"/>
      <c r="C196" s="136" t="s">
        <v>13</v>
      </c>
      <c r="D196" s="139">
        <v>97</v>
      </c>
      <c r="E196" s="116">
        <v>0</v>
      </c>
      <c r="F196" s="116">
        <v>0</v>
      </c>
      <c r="G196" s="292">
        <v>97</v>
      </c>
      <c r="H196" s="115">
        <v>75</v>
      </c>
      <c r="I196" s="116">
        <v>0</v>
      </c>
      <c r="J196" s="116">
        <v>22</v>
      </c>
      <c r="K196" s="116">
        <v>0</v>
      </c>
      <c r="L196" s="117">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805" t="s">
        <v>150</v>
      </c>
      <c r="B201" s="417" t="s">
        <v>182</v>
      </c>
      <c r="C201" s="298" t="s">
        <v>9</v>
      </c>
      <c r="D201" s="1764" t="s">
        <v>151</v>
      </c>
      <c r="E201" s="300" t="s">
        <v>152</v>
      </c>
      <c r="F201" s="300" t="s">
        <v>153</v>
      </c>
      <c r="G201" s="298" t="s">
        <v>154</v>
      </c>
      <c r="H201" s="1836" t="s">
        <v>155</v>
      </c>
      <c r="I201" s="1765" t="s">
        <v>156</v>
      </c>
      <c r="J201" s="1766" t="s">
        <v>157</v>
      </c>
      <c r="K201" s="300" t="s">
        <v>158</v>
      </c>
      <c r="L201" s="304" t="s">
        <v>159</v>
      </c>
    </row>
    <row r="202" spans="1:14" ht="15" customHeight="1">
      <c r="A202" s="2408" t="str">
        <f>CONCATENATE('[1]WSS 2015'!B202:B209,'[1]WSS 2016_2017 stan 31.12.2017'!A202:B209)</f>
        <v xml:space="preserve">      DROW
1. umożliwienie udziału przedstawicieli LGD w 4 zagranicznych spotkaniach mających na celu skojarzenie potencjalnych partnerów projektów współpracy międzynarodowej</v>
      </c>
      <c r="B202" s="1855"/>
      <c r="C202" s="72">
        <v>2014</v>
      </c>
      <c r="D202" s="30"/>
      <c r="E202" s="31"/>
      <c r="F202" s="31"/>
      <c r="G202" s="29"/>
      <c r="H202" s="305"/>
      <c r="I202" s="306"/>
      <c r="J202" s="307"/>
      <c r="K202" s="31"/>
      <c r="L202" s="34"/>
    </row>
    <row r="203" spans="1:14">
      <c r="A203" s="2378"/>
      <c r="B203" s="1855"/>
      <c r="C203" s="73">
        <v>2015</v>
      </c>
      <c r="D203" s="37">
        <f>'[1]WSS 2015'!D203</f>
        <v>0</v>
      </c>
      <c r="E203" s="37">
        <f>'[1]WSS 2015'!E203</f>
        <v>0</v>
      </c>
      <c r="F203" s="38">
        <f>'[1]WSS 2015'!F203</f>
        <v>0</v>
      </c>
      <c r="G203" s="291">
        <f>'[1]WSS 2015'!G203</f>
        <v>0</v>
      </c>
      <c r="H203" s="112">
        <f>'[1]WSS 2015'!H203</f>
        <v>0</v>
      </c>
      <c r="I203" s="38">
        <f>'[1]WSS 2015'!I203</f>
        <v>0</v>
      </c>
      <c r="J203" s="38">
        <f>'[1]WSS 2015'!J203</f>
        <v>1</v>
      </c>
      <c r="K203" s="38">
        <f>'[1]WSS 2015'!K203</f>
        <v>29</v>
      </c>
      <c r="L203" s="88">
        <f>'[1]WSS 2015'!L203</f>
        <v>0</v>
      </c>
    </row>
    <row r="204" spans="1:14">
      <c r="A204" s="2378"/>
      <c r="B204" s="1855"/>
      <c r="C204" s="73">
        <v>2016</v>
      </c>
      <c r="D204" s="37">
        <v>0</v>
      </c>
      <c r="E204" s="38">
        <v>0</v>
      </c>
      <c r="F204" s="38">
        <v>0</v>
      </c>
      <c r="G204" s="36">
        <v>0</v>
      </c>
      <c r="H204" s="308">
        <v>0</v>
      </c>
      <c r="I204" s="309">
        <v>0</v>
      </c>
      <c r="J204" s="310">
        <v>0</v>
      </c>
      <c r="K204" s="38">
        <v>0</v>
      </c>
      <c r="L204" s="88">
        <v>0</v>
      </c>
    </row>
    <row r="205" spans="1:14">
      <c r="A205" s="2378"/>
      <c r="B205" s="1855"/>
      <c r="C205" s="73">
        <v>2017</v>
      </c>
      <c r="D205" s="37">
        <v>4</v>
      </c>
      <c r="E205" s="38">
        <v>0</v>
      </c>
      <c r="F205" s="38">
        <v>0</v>
      </c>
      <c r="G205" s="38">
        <v>0</v>
      </c>
      <c r="H205" s="38">
        <v>0</v>
      </c>
      <c r="I205" s="38">
        <v>0</v>
      </c>
      <c r="J205" s="38">
        <v>0</v>
      </c>
      <c r="K205" s="38">
        <v>13</v>
      </c>
      <c r="L205" s="88">
        <v>0</v>
      </c>
    </row>
    <row r="206" spans="1:14">
      <c r="A206" s="2378"/>
      <c r="B206" s="1855"/>
      <c r="C206" s="73">
        <v>2018</v>
      </c>
      <c r="D206" s="37"/>
      <c r="E206" s="38"/>
      <c r="F206" s="38"/>
      <c r="G206" s="36"/>
      <c r="H206" s="308"/>
      <c r="I206" s="309"/>
      <c r="J206" s="310"/>
      <c r="K206" s="38"/>
      <c r="L206" s="88"/>
    </row>
    <row r="207" spans="1:14">
      <c r="A207" s="2378"/>
      <c r="B207" s="1855"/>
      <c r="C207" s="73">
        <v>2019</v>
      </c>
      <c r="D207" s="37"/>
      <c r="E207" s="38"/>
      <c r="F207" s="38"/>
      <c r="G207" s="36"/>
      <c r="H207" s="308"/>
      <c r="I207" s="309"/>
      <c r="J207" s="310"/>
      <c r="K207" s="38"/>
      <c r="L207" s="88"/>
    </row>
    <row r="208" spans="1:14">
      <c r="A208" s="2378"/>
      <c r="B208" s="1855"/>
      <c r="C208" s="73">
        <v>2020</v>
      </c>
      <c r="D208" s="1800"/>
      <c r="E208" s="312"/>
      <c r="F208" s="312"/>
      <c r="G208" s="313"/>
      <c r="H208" s="314"/>
      <c r="I208" s="315"/>
      <c r="J208" s="316"/>
      <c r="K208" s="312"/>
      <c r="L208" s="317"/>
    </row>
    <row r="209" spans="1:12" ht="20.25" customHeight="1" thickBot="1">
      <c r="A209" s="1856"/>
      <c r="B209" s="1857"/>
      <c r="C209" s="136" t="s">
        <v>13</v>
      </c>
      <c r="D209" s="139">
        <v>4</v>
      </c>
      <c r="E209" s="139">
        <v>0</v>
      </c>
      <c r="F209" s="139">
        <v>0</v>
      </c>
      <c r="G209" s="139">
        <v>0</v>
      </c>
      <c r="H209" s="139">
        <v>0</v>
      </c>
      <c r="I209" s="139">
        <v>0</v>
      </c>
      <c r="J209" s="139">
        <v>0</v>
      </c>
      <c r="K209" s="139">
        <v>13</v>
      </c>
      <c r="L209" s="1785">
        <v>0</v>
      </c>
    </row>
    <row r="211" spans="1:12" ht="15.75" thickBot="1"/>
    <row r="212" spans="1:12" s="1802" customFormat="1" ht="15" customHeight="1">
      <c r="A212" s="1806" t="s">
        <v>161</v>
      </c>
      <c r="B212" s="1786" t="s">
        <v>162</v>
      </c>
      <c r="C212" s="1787">
        <v>2014</v>
      </c>
      <c r="D212" s="1787">
        <v>2015</v>
      </c>
      <c r="E212" s="1787">
        <v>2016</v>
      </c>
      <c r="F212" s="1787">
        <v>2017</v>
      </c>
      <c r="G212" s="1787">
        <v>2018</v>
      </c>
      <c r="H212" s="1787">
        <v>2019</v>
      </c>
      <c r="I212" s="1787">
        <v>2020</v>
      </c>
    </row>
    <row r="213" spans="1:12" ht="15" customHeight="1">
      <c r="A213" t="s">
        <v>163</v>
      </c>
      <c r="B213" s="2471" t="str">
        <f>CONCATENATE('[1]WSS 2015'!B213:B219,'[1]WSS 2016_2017 stan 31.12.2017'!B213:B219)</f>
        <v>W powyższych tabelach nie uwzględniono kosztów delegacji w kwocie 27363,92 zł.
W ramach kosztów funkcjonowania wliczono koszty delegacji krajowych, zagranicznych, szkoleń, kursów językowych, wynagrodzeń osobowych, bezosobowych, tłumaczeń, materiałów, usług teleinformatycznyc,h eksploatacyjnych przypadających na pracowników zaangażowanych w realizację zadań w ramach KSOW.W ramach kosztów funkcjonowania wliczono koszty delegacji krajowych, szkoleń, kursów językowych, wynagrodzeń osobowych, bezosobowych, ekspertyz, ksiegi wizualizacji, utrzymania portalu KSOW, usług remontowych, wyposażenia stanowisk pracy osób zajmujacych się KSOW, tłumaczeń, organizacji spotkań, materiałów, usług teleinformatycznych, eksploatacyjnych przypadających na pracowników zaangażowanych w realizację zadań w ramach KSOW.</v>
      </c>
      <c r="C213" s="1185"/>
      <c r="D213" s="1788">
        <f>SUM(D214:D217)</f>
        <v>2055703.89</v>
      </c>
      <c r="E213" s="1788">
        <v>3466238.2</v>
      </c>
      <c r="F213" s="1788">
        <v>7254781.2599999998</v>
      </c>
      <c r="G213" s="1187"/>
      <c r="H213" s="1187"/>
      <c r="I213" s="1187"/>
    </row>
    <row r="214" spans="1:12">
      <c r="A214" t="s">
        <v>164</v>
      </c>
      <c r="B214" s="2472"/>
      <c r="C214" s="1185"/>
      <c r="D214" s="1788">
        <v>644237.27</v>
      </c>
      <c r="E214" s="1788">
        <v>1546155.26</v>
      </c>
      <c r="F214" s="1788">
        <v>3289122.7800000003</v>
      </c>
      <c r="G214" s="1187"/>
      <c r="H214" s="1187"/>
      <c r="I214" s="1187"/>
    </row>
    <row r="215" spans="1:12">
      <c r="A215" t="s">
        <v>165</v>
      </c>
      <c r="B215" s="2472"/>
      <c r="C215" s="1185"/>
      <c r="D215" s="1788">
        <v>0</v>
      </c>
      <c r="E215" s="1788">
        <v>0</v>
      </c>
      <c r="F215" s="1788">
        <v>2004.9</v>
      </c>
      <c r="G215" s="1187"/>
      <c r="H215" s="1187"/>
      <c r="I215" s="1187"/>
    </row>
    <row r="216" spans="1:12">
      <c r="A216" t="s">
        <v>166</v>
      </c>
      <c r="B216" s="2472"/>
      <c r="C216" s="1185"/>
      <c r="D216" s="1788">
        <v>1259839.7</v>
      </c>
      <c r="E216" s="1788">
        <v>1022068.6900000001</v>
      </c>
      <c r="F216" s="1788">
        <v>1474731.27</v>
      </c>
      <c r="G216" s="1187"/>
      <c r="H216" s="1187"/>
      <c r="I216" s="1187"/>
    </row>
    <row r="217" spans="1:12">
      <c r="A217" t="s">
        <v>167</v>
      </c>
      <c r="B217" s="2472"/>
      <c r="C217" s="1185"/>
      <c r="D217" s="1788">
        <v>151626.92000000001</v>
      </c>
      <c r="E217" s="1788">
        <v>898014.24999999988</v>
      </c>
      <c r="F217" s="1788">
        <v>2488922.31</v>
      </c>
      <c r="G217" s="1187"/>
      <c r="H217" s="1187"/>
      <c r="I217" s="1187"/>
    </row>
    <row r="218" spans="1:12" s="1792" customFormat="1" ht="32.25" customHeight="1">
      <c r="A218" s="1801" t="s">
        <v>168</v>
      </c>
      <c r="B218" s="2472"/>
      <c r="C218" s="1789"/>
      <c r="D218" s="1788">
        <v>1686772.08</v>
      </c>
      <c r="E218" s="1790">
        <v>3010693.06</v>
      </c>
      <c r="F218" s="1788">
        <v>3272609.97</v>
      </c>
      <c r="G218" s="1791"/>
      <c r="H218" s="1791"/>
      <c r="I218" s="1791"/>
    </row>
    <row r="219" spans="1:12" ht="120.75" customHeight="1" thickBot="1">
      <c r="A219" s="242"/>
      <c r="B219" s="2473"/>
      <c r="C219" s="1793"/>
      <c r="D219" s="1794">
        <f>SUM(D214:D218)</f>
        <v>3742475.9699999997</v>
      </c>
      <c r="E219" s="1794">
        <v>6476931.2624249924</v>
      </c>
      <c r="F219" s="1794">
        <v>10527391.228868667</v>
      </c>
      <c r="G219" s="1793">
        <v>0</v>
      </c>
      <c r="H219" s="1793">
        <v>0</v>
      </c>
      <c r="I219" s="1793">
        <v>0</v>
      </c>
    </row>
    <row r="221" spans="1:12" ht="15.75" customHeight="1"/>
    <row r="222" spans="1:12" ht="14.25" customHeight="1">
      <c r="D222" s="1795"/>
    </row>
    <row r="223" spans="1:12">
      <c r="D223" s="327"/>
    </row>
    <row r="224" spans="1:12">
      <c r="J224" s="327"/>
    </row>
    <row r="226" spans="1:8">
      <c r="C226" s="7"/>
    </row>
    <row r="227" spans="1:8">
      <c r="A227" s="56"/>
      <c r="C227" s="7"/>
    </row>
    <row r="228" spans="1:8">
      <c r="C228" s="7"/>
    </row>
    <row r="229" spans="1:8">
      <c r="C229" s="7"/>
    </row>
    <row r="230" spans="1:8">
      <c r="C230" s="7"/>
    </row>
    <row r="231" spans="1:8" s="1796" customFormat="1">
      <c r="D231"/>
      <c r="E231"/>
      <c r="F231"/>
      <c r="G231"/>
      <c r="H231"/>
    </row>
  </sheetData>
  <mergeCells count="55">
    <mergeCell ref="A28:B35"/>
    <mergeCell ref="F3:O3"/>
    <mergeCell ref="A4:O10"/>
    <mergeCell ref="D15:G15"/>
    <mergeCell ref="A17:B24"/>
    <mergeCell ref="D26:G26"/>
    <mergeCell ref="A62:B69"/>
    <mergeCell ref="A72:B79"/>
    <mergeCell ref="A85:B92"/>
    <mergeCell ref="A96:A97"/>
    <mergeCell ref="B96:B97"/>
    <mergeCell ref="A40:B47"/>
    <mergeCell ref="A50:B58"/>
    <mergeCell ref="A60:A61"/>
    <mergeCell ref="C60:C61"/>
    <mergeCell ref="D60:D61"/>
    <mergeCell ref="B142:B143"/>
    <mergeCell ref="C142:C143"/>
    <mergeCell ref="B107:B108"/>
    <mergeCell ref="C96:C97"/>
    <mergeCell ref="D96:E96"/>
    <mergeCell ref="A98:B105"/>
    <mergeCell ref="C107:C108"/>
    <mergeCell ref="D107:D108"/>
    <mergeCell ref="A109:B116"/>
    <mergeCell ref="A107:A108"/>
    <mergeCell ref="J142:N142"/>
    <mergeCell ref="A153:A154"/>
    <mergeCell ref="B153:B154"/>
    <mergeCell ref="C153:C154"/>
    <mergeCell ref="A144:B151"/>
    <mergeCell ref="A118:A119"/>
    <mergeCell ref="B118:B119"/>
    <mergeCell ref="C118:C119"/>
    <mergeCell ref="D118:D119"/>
    <mergeCell ref="A120:B127"/>
    <mergeCell ref="A129:A130"/>
    <mergeCell ref="B129:B130"/>
    <mergeCell ref="A131:B137"/>
    <mergeCell ref="A142:A143"/>
    <mergeCell ref="A155:B162"/>
    <mergeCell ref="A165:B172"/>
    <mergeCell ref="A189:B196"/>
    <mergeCell ref="A202:B209"/>
    <mergeCell ref="B213:B219"/>
    <mergeCell ref="I176:O176"/>
    <mergeCell ref="A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8"/>
  <sheetViews>
    <sheetView topLeftCell="C10" zoomScale="80" zoomScaleNormal="80" workbookViewId="0">
      <selection activeCell="H18" sqref="H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193</v>
      </c>
      <c r="C1" s="1944"/>
      <c r="D1" s="1944"/>
      <c r="E1" s="1944"/>
      <c r="F1" s="1944"/>
    </row>
    <row r="2" spans="1:25" s="1" customFormat="1" ht="20.100000000000001" customHeight="1" thickBot="1"/>
    <row r="3" spans="1:25" s="4" customFormat="1" ht="20.100000000000001" customHeight="1">
      <c r="A3" s="2" t="s">
        <v>2</v>
      </c>
      <c r="B3" s="3"/>
      <c r="C3" s="3"/>
      <c r="D3" s="3"/>
      <c r="E3" s="3"/>
      <c r="F3" s="1945"/>
      <c r="G3" s="1945"/>
      <c r="H3" s="1945"/>
      <c r="I3" s="1945"/>
      <c r="J3" s="1945"/>
      <c r="K3" s="1945"/>
      <c r="L3" s="1945"/>
      <c r="M3" s="1945"/>
      <c r="N3" s="1945"/>
      <c r="O3" s="1946"/>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8"/>
      <c r="B15" s="9"/>
      <c r="C15" s="10"/>
      <c r="D15" s="1953" t="s">
        <v>5</v>
      </c>
      <c r="E15" s="1954"/>
      <c r="F15" s="1954"/>
      <c r="G15" s="1954"/>
      <c r="H15" s="11"/>
      <c r="I15" s="12" t="s">
        <v>6</v>
      </c>
      <c r="J15" s="13"/>
      <c r="K15" s="13"/>
      <c r="L15" s="13"/>
      <c r="M15" s="13"/>
      <c r="N15" s="13"/>
      <c r="O15" s="14"/>
      <c r="P15" s="15"/>
      <c r="Q15" s="16"/>
      <c r="R15" s="17"/>
      <c r="S15" s="17"/>
      <c r="T15" s="17"/>
      <c r="U15" s="17"/>
      <c r="V15" s="17"/>
      <c r="W15" s="15"/>
      <c r="X15" s="15"/>
      <c r="Y15" s="16"/>
    </row>
    <row r="16" spans="1:25" s="56" customFormat="1" ht="144.75"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981" t="s">
        <v>194</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982"/>
      <c r="B18" s="1855"/>
      <c r="C18" s="36">
        <v>2015</v>
      </c>
      <c r="D18" s="37">
        <v>10</v>
      </c>
      <c r="E18" s="38">
        <v>2</v>
      </c>
      <c r="F18" s="38">
        <v>3</v>
      </c>
      <c r="G18" s="32">
        <f>SUM(D18:F18)</f>
        <v>15</v>
      </c>
      <c r="H18" s="39"/>
      <c r="I18" s="38">
        <v>4</v>
      </c>
      <c r="J18" s="38">
        <v>1</v>
      </c>
      <c r="K18" s="38">
        <v>4</v>
      </c>
      <c r="L18" s="38"/>
      <c r="M18" s="38"/>
      <c r="N18" s="38">
        <v>1</v>
      </c>
      <c r="O18" s="40">
        <v>5</v>
      </c>
      <c r="P18" s="35"/>
      <c r="Q18" s="35"/>
      <c r="R18" s="35"/>
      <c r="S18" s="35"/>
      <c r="T18" s="35"/>
      <c r="U18" s="35"/>
      <c r="V18" s="35"/>
      <c r="W18" s="35"/>
      <c r="X18" s="35"/>
      <c r="Y18" s="35"/>
    </row>
    <row r="19" spans="1:25">
      <c r="A19" s="1982"/>
      <c r="B19" s="1855"/>
      <c r="C19" s="36">
        <v>2016</v>
      </c>
      <c r="D19" s="37">
        <v>47</v>
      </c>
      <c r="E19" s="38">
        <v>5</v>
      </c>
      <c r="F19" s="38">
        <v>5</v>
      </c>
      <c r="G19" s="32">
        <f>SUM(D19:F19)</f>
        <v>57</v>
      </c>
      <c r="H19" s="39">
        <v>1</v>
      </c>
      <c r="I19" s="38">
        <v>8</v>
      </c>
      <c r="J19" s="38">
        <v>3</v>
      </c>
      <c r="K19" s="38">
        <v>34</v>
      </c>
      <c r="L19" s="38">
        <v>4</v>
      </c>
      <c r="M19" s="38"/>
      <c r="N19" s="38">
        <v>1</v>
      </c>
      <c r="O19" s="40">
        <v>6</v>
      </c>
      <c r="P19" s="35"/>
      <c r="Q19" s="35"/>
      <c r="R19" s="35"/>
      <c r="S19" s="35"/>
      <c r="T19" s="35"/>
      <c r="U19" s="35"/>
      <c r="V19" s="35"/>
      <c r="W19" s="35"/>
      <c r="X19" s="35"/>
      <c r="Y19" s="35"/>
    </row>
    <row r="20" spans="1:25">
      <c r="A20" s="1982"/>
      <c r="B20" s="1855"/>
      <c r="C20" s="36">
        <v>2017</v>
      </c>
      <c r="D20" s="37">
        <v>35</v>
      </c>
      <c r="E20" s="38">
        <v>2</v>
      </c>
      <c r="F20" s="38">
        <v>3</v>
      </c>
      <c r="G20" s="32">
        <f t="shared" si="0"/>
        <v>40</v>
      </c>
      <c r="H20" s="39">
        <v>1</v>
      </c>
      <c r="I20" s="38">
        <v>5</v>
      </c>
      <c r="J20" s="38">
        <v>2</v>
      </c>
      <c r="K20" s="38">
        <v>1</v>
      </c>
      <c r="L20" s="38">
        <v>2</v>
      </c>
      <c r="M20" s="38"/>
      <c r="N20" s="38"/>
      <c r="O20" s="40">
        <v>29</v>
      </c>
      <c r="P20" s="35"/>
      <c r="Q20" s="35"/>
      <c r="R20" s="35"/>
      <c r="S20" s="35"/>
      <c r="T20" s="35"/>
      <c r="U20" s="35"/>
      <c r="V20" s="35"/>
      <c r="W20" s="35"/>
      <c r="X20" s="35"/>
      <c r="Y20" s="35"/>
    </row>
    <row r="21" spans="1:25">
      <c r="A21" s="1982"/>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982"/>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982"/>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394.5" customHeight="1" thickBot="1">
      <c r="A24" s="1983"/>
      <c r="B24" s="1857"/>
      <c r="C24" s="42" t="s">
        <v>13</v>
      </c>
      <c r="D24" s="43">
        <f>SUM(D17:D23)</f>
        <v>92</v>
      </c>
      <c r="E24" s="44">
        <f>SUM(E17:E23)</f>
        <v>9</v>
      </c>
      <c r="F24" s="44">
        <f>SUM(F17:F23)</f>
        <v>11</v>
      </c>
      <c r="G24" s="45">
        <f>SUM(D24:F24)</f>
        <v>112</v>
      </c>
      <c r="H24" s="46">
        <f>SUM(H17:H23)</f>
        <v>2</v>
      </c>
      <c r="I24" s="47">
        <f>SUM(I17:I23)</f>
        <v>17</v>
      </c>
      <c r="J24" s="47">
        <f t="shared" ref="J24:N24" si="1">SUM(J17:J23)</f>
        <v>6</v>
      </c>
      <c r="K24" s="47">
        <f t="shared" si="1"/>
        <v>39</v>
      </c>
      <c r="L24" s="47">
        <f t="shared" si="1"/>
        <v>6</v>
      </c>
      <c r="M24" s="47">
        <f t="shared" si="1"/>
        <v>0</v>
      </c>
      <c r="N24" s="47">
        <f t="shared" si="1"/>
        <v>2</v>
      </c>
      <c r="O24" s="48">
        <f>SUM(O17:O23)</f>
        <v>40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8"/>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195</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433">
        <f>3271+1500</f>
        <v>4771</v>
      </c>
      <c r="E29" s="89">
        <v>198</v>
      </c>
      <c r="F29" s="89">
        <v>250</v>
      </c>
      <c r="G29" s="434">
        <f>SUM(D29:F29)</f>
        <v>5219</v>
      </c>
      <c r="H29" s="35"/>
      <c r="I29" s="35"/>
      <c r="J29" s="35"/>
      <c r="K29" s="35"/>
      <c r="L29" s="35"/>
      <c r="M29" s="35"/>
      <c r="N29" s="35"/>
      <c r="O29" s="35"/>
      <c r="P29" s="35"/>
      <c r="Q29" s="7"/>
    </row>
    <row r="30" spans="1:25">
      <c r="A30" s="1854"/>
      <c r="B30" s="1855"/>
      <c r="C30" s="59">
        <v>2016</v>
      </c>
      <c r="D30" s="433">
        <v>36894</v>
      </c>
      <c r="E30" s="89">
        <v>5589</v>
      </c>
      <c r="F30" s="89">
        <v>400127</v>
      </c>
      <c r="G30" s="434">
        <f t="shared" ref="G30:G35" si="2">SUM(D30:F30)</f>
        <v>442610</v>
      </c>
      <c r="H30" s="35"/>
      <c r="I30" s="35"/>
      <c r="J30" s="35"/>
      <c r="K30" s="35"/>
      <c r="L30" s="35"/>
      <c r="M30" s="35"/>
      <c r="N30" s="35"/>
      <c r="O30" s="35"/>
      <c r="P30" s="35"/>
      <c r="Q30" s="7"/>
    </row>
    <row r="31" spans="1:25">
      <c r="A31" s="1854"/>
      <c r="B31" s="1855"/>
      <c r="C31" s="59">
        <v>2017</v>
      </c>
      <c r="D31" s="433">
        <v>35620</v>
      </c>
      <c r="E31" s="89">
        <v>32002</v>
      </c>
      <c r="F31" s="89">
        <v>49746</v>
      </c>
      <c r="G31" s="434">
        <f t="shared" si="2"/>
        <v>117368</v>
      </c>
      <c r="H31" s="35"/>
      <c r="I31" s="35"/>
      <c r="J31" s="35"/>
      <c r="K31" s="35"/>
      <c r="L31" s="35"/>
      <c r="M31" s="35"/>
      <c r="N31" s="35"/>
      <c r="O31" s="35"/>
      <c r="P31" s="35"/>
      <c r="Q31" s="7"/>
    </row>
    <row r="32" spans="1:25">
      <c r="A32" s="1854"/>
      <c r="B32" s="1855"/>
      <c r="C32" s="59">
        <v>2018</v>
      </c>
      <c r="D32" s="433"/>
      <c r="E32" s="89"/>
      <c r="F32" s="89"/>
      <c r="G32" s="434">
        <f>SUM(D32:F32)</f>
        <v>0</v>
      </c>
      <c r="H32" s="35"/>
      <c r="I32" s="35"/>
      <c r="J32" s="35"/>
      <c r="K32" s="35"/>
      <c r="L32" s="35"/>
      <c r="M32" s="35"/>
      <c r="N32" s="35"/>
      <c r="O32" s="35"/>
      <c r="P32" s="35"/>
      <c r="Q32" s="7"/>
    </row>
    <row r="33" spans="1:17">
      <c r="A33" s="1854"/>
      <c r="B33" s="1855"/>
      <c r="C33" s="60">
        <v>2019</v>
      </c>
      <c r="D33" s="433"/>
      <c r="E33" s="89"/>
      <c r="F33" s="89"/>
      <c r="G33" s="434">
        <f t="shared" si="2"/>
        <v>0</v>
      </c>
      <c r="H33" s="35"/>
      <c r="I33" s="35"/>
      <c r="J33" s="35"/>
      <c r="K33" s="35"/>
      <c r="L33" s="35"/>
      <c r="M33" s="35"/>
      <c r="N33" s="35"/>
      <c r="O33" s="35"/>
      <c r="P33" s="35"/>
      <c r="Q33" s="7"/>
    </row>
    <row r="34" spans="1:17">
      <c r="A34" s="1854"/>
      <c r="B34" s="1855"/>
      <c r="C34" s="59">
        <v>2020</v>
      </c>
      <c r="D34" s="433"/>
      <c r="E34" s="89"/>
      <c r="F34" s="89"/>
      <c r="G34" s="434">
        <f t="shared" si="2"/>
        <v>0</v>
      </c>
      <c r="H34" s="35"/>
      <c r="I34" s="35"/>
      <c r="J34" s="35"/>
      <c r="K34" s="35"/>
      <c r="L34" s="35"/>
      <c r="M34" s="35"/>
      <c r="N34" s="35"/>
      <c r="O34" s="35"/>
      <c r="P34" s="35"/>
      <c r="Q34" s="7"/>
    </row>
    <row r="35" spans="1:17" ht="52.5" customHeight="1" thickBot="1">
      <c r="A35" s="1856"/>
      <c r="B35" s="1857"/>
      <c r="C35" s="61" t="s">
        <v>13</v>
      </c>
      <c r="D35" s="435">
        <f>SUM(D28:D34)</f>
        <v>77285</v>
      </c>
      <c r="E35" s="94">
        <f>SUM(E28:E34)</f>
        <v>37789</v>
      </c>
      <c r="F35" s="94">
        <f>SUM(F28:F34)</f>
        <v>450123</v>
      </c>
      <c r="G35" s="436">
        <f t="shared" si="2"/>
        <v>565197</v>
      </c>
      <c r="H35" s="35"/>
      <c r="I35" s="35"/>
      <c r="J35" s="35"/>
      <c r="K35" s="35"/>
      <c r="L35" s="35"/>
      <c r="M35" s="35"/>
      <c r="N35" s="35"/>
      <c r="O35" s="35"/>
      <c r="P35" s="35"/>
      <c r="Q35" s="7"/>
    </row>
    <row r="36" spans="1:17" ht="81" customHeight="1">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66" t="s">
        <v>26</v>
      </c>
      <c r="B39" s="372" t="s">
        <v>171</v>
      </c>
      <c r="C39" s="68" t="s">
        <v>9</v>
      </c>
      <c r="D39" s="69" t="s">
        <v>28</v>
      </c>
      <c r="E39" s="70" t="s">
        <v>29</v>
      </c>
      <c r="F39" s="71"/>
      <c r="G39" s="28"/>
      <c r="H39" s="28"/>
    </row>
    <row r="40" spans="1:17">
      <c r="A40" s="1874" t="s">
        <v>196</v>
      </c>
      <c r="B40" s="1855"/>
      <c r="C40" s="72">
        <v>2014</v>
      </c>
      <c r="D40" s="30"/>
      <c r="E40" s="29"/>
      <c r="F40" s="7"/>
      <c r="G40" s="35"/>
      <c r="H40" s="35"/>
    </row>
    <row r="41" spans="1:17">
      <c r="A41" s="1854"/>
      <c r="B41" s="1855"/>
      <c r="C41" s="73">
        <v>2015</v>
      </c>
      <c r="D41" s="74">
        <v>9107</v>
      </c>
      <c r="E41" s="75">
        <v>1992</v>
      </c>
      <c r="F41" s="7"/>
      <c r="G41" s="35"/>
      <c r="H41" s="35"/>
    </row>
    <row r="42" spans="1:17">
      <c r="A42" s="1854"/>
      <c r="B42" s="1855"/>
      <c r="C42" s="73">
        <v>2016</v>
      </c>
      <c r="D42" s="74">
        <v>344243</v>
      </c>
      <c r="E42" s="75">
        <v>33907</v>
      </c>
      <c r="F42" s="7"/>
      <c r="G42" s="35"/>
      <c r="H42" s="35"/>
    </row>
    <row r="43" spans="1:17">
      <c r="A43" s="1854"/>
      <c r="B43" s="1855"/>
      <c r="C43" s="73">
        <v>2017</v>
      </c>
      <c r="D43" s="74">
        <v>70394</v>
      </c>
      <c r="E43" s="75">
        <v>51628</v>
      </c>
      <c r="F43" s="7"/>
      <c r="G43" s="35"/>
      <c r="H43" s="35"/>
    </row>
    <row r="44" spans="1:17">
      <c r="A44" s="1854"/>
      <c r="B44" s="1855"/>
      <c r="C44" s="73">
        <v>2018</v>
      </c>
      <c r="D44" s="74"/>
      <c r="E44" s="75"/>
      <c r="F44" s="7"/>
      <c r="G44" s="35"/>
      <c r="H44" s="35"/>
    </row>
    <row r="45" spans="1:17">
      <c r="A45" s="1854"/>
      <c r="B45" s="1855"/>
      <c r="C45" s="73">
        <v>2019</v>
      </c>
      <c r="D45" s="74"/>
      <c r="E45" s="75"/>
      <c r="F45" s="7"/>
      <c r="G45" s="35"/>
      <c r="H45" s="35"/>
    </row>
    <row r="46" spans="1:17">
      <c r="A46" s="1854"/>
      <c r="B46" s="1855"/>
      <c r="C46" s="73">
        <v>2020</v>
      </c>
      <c r="D46" s="74"/>
      <c r="E46" s="75"/>
      <c r="F46" s="7"/>
      <c r="G46" s="35"/>
      <c r="H46" s="35"/>
    </row>
    <row r="47" spans="1:17" ht="30" customHeight="1" thickBot="1">
      <c r="A47" s="1856"/>
      <c r="B47" s="1857"/>
      <c r="C47" s="42" t="s">
        <v>13</v>
      </c>
      <c r="D47" s="76">
        <f>SUM(D40:D46)</f>
        <v>423744</v>
      </c>
      <c r="E47" s="77">
        <f>SUM(E40:E46)</f>
        <v>87527</v>
      </c>
      <c r="F47" s="78"/>
      <c r="G47" s="35"/>
      <c r="H47" s="35"/>
    </row>
    <row r="48" spans="1:17" s="35" customFormat="1" ht="15.75" thickBot="1">
      <c r="A48" s="437"/>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v>1</v>
      </c>
      <c r="E53" s="38"/>
      <c r="F53" s="38"/>
      <c r="G53" s="89">
        <v>10500</v>
      </c>
      <c r="H53" s="89"/>
      <c r="I53" s="89"/>
      <c r="J53" s="89">
        <v>748</v>
      </c>
      <c r="K53" s="438">
        <v>72408</v>
      </c>
    </row>
    <row r="54" spans="1:15">
      <c r="A54" s="1874"/>
      <c r="B54" s="1881"/>
      <c r="C54" s="73">
        <v>2017</v>
      </c>
      <c r="D54" s="37">
        <v>1</v>
      </c>
      <c r="E54" s="38"/>
      <c r="F54" s="38"/>
      <c r="G54" s="89">
        <v>11748</v>
      </c>
      <c r="H54" s="89"/>
      <c r="I54" s="89"/>
      <c r="J54" s="89">
        <v>1010</v>
      </c>
      <c r="K54" s="438">
        <v>5286</v>
      </c>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2</v>
      </c>
      <c r="E58" s="44">
        <f>SUM(E51:E57)</f>
        <v>0</v>
      </c>
      <c r="F58" s="44">
        <f>SUM(F51:F57)</f>
        <v>0</v>
      </c>
      <c r="G58" s="44">
        <f>SUM(G51:G57)</f>
        <v>22248</v>
      </c>
      <c r="H58" s="44">
        <f>SUM(H51:H57)</f>
        <v>0</v>
      </c>
      <c r="I58" s="44">
        <f t="shared" ref="I58" si="3">SUM(I51:I57)</f>
        <v>0</v>
      </c>
      <c r="J58" s="44">
        <f>SUM(J51:J57)</f>
        <v>1758</v>
      </c>
      <c r="K58" s="48">
        <f>SUM(K50:K56)</f>
        <v>77694</v>
      </c>
    </row>
    <row r="59" spans="1:15" ht="15.75" thickBot="1"/>
    <row r="60" spans="1:15" ht="21" customHeight="1">
      <c r="A60" s="1969" t="s">
        <v>44</v>
      </c>
      <c r="B60" s="95"/>
      <c r="C60" s="1971" t="s">
        <v>9</v>
      </c>
      <c r="D60" s="1941" t="s">
        <v>45</v>
      </c>
      <c r="E60" s="96" t="s">
        <v>6</v>
      </c>
      <c r="F60" s="97"/>
      <c r="G60" s="97"/>
      <c r="H60" s="97"/>
      <c r="I60" s="97"/>
      <c r="J60" s="97"/>
      <c r="K60" s="97"/>
      <c r="L60" s="98"/>
    </row>
    <row r="61" spans="1:15" ht="149.2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c r="B62" s="1899"/>
      <c r="C62" s="106">
        <v>2014</v>
      </c>
      <c r="D62" s="107"/>
      <c r="E62" s="108"/>
      <c r="F62" s="109"/>
      <c r="G62" s="109"/>
      <c r="H62" s="109"/>
      <c r="I62" s="109"/>
      <c r="J62" s="109"/>
      <c r="K62" s="109"/>
      <c r="L62" s="34"/>
      <c r="M62" s="7"/>
      <c r="N62" s="7"/>
      <c r="O62" s="7"/>
    </row>
    <row r="63" spans="1:15">
      <c r="A63" s="1891"/>
      <c r="B63" s="1899"/>
      <c r="C63" s="110">
        <v>2015</v>
      </c>
      <c r="D63" s="111"/>
      <c r="E63" s="112"/>
      <c r="F63" s="38"/>
      <c r="G63" s="38"/>
      <c r="H63" s="38"/>
      <c r="I63" s="38"/>
      <c r="J63" s="38"/>
      <c r="K63" s="38"/>
      <c r="L63" s="88"/>
      <c r="M63" s="7"/>
      <c r="N63" s="7"/>
      <c r="O63" s="7"/>
    </row>
    <row r="64" spans="1:15">
      <c r="A64" s="1891"/>
      <c r="B64" s="1899"/>
      <c r="C64" s="110">
        <v>2016</v>
      </c>
      <c r="D64" s="111">
        <v>8</v>
      </c>
      <c r="E64" s="112"/>
      <c r="F64" s="38">
        <v>3</v>
      </c>
      <c r="G64" s="38">
        <f>3</f>
        <v>3</v>
      </c>
      <c r="H64" s="38"/>
      <c r="I64" s="38"/>
      <c r="J64" s="38"/>
      <c r="K64" s="38">
        <v>1</v>
      </c>
      <c r="L64" s="88">
        <v>1</v>
      </c>
      <c r="M64" s="7"/>
      <c r="N64" s="7"/>
      <c r="O64" s="7"/>
    </row>
    <row r="65" spans="1:20">
      <c r="A65" s="1891"/>
      <c r="B65" s="1899"/>
      <c r="C65" s="110">
        <v>2017</v>
      </c>
      <c r="D65" s="111">
        <v>3</v>
      </c>
      <c r="E65" s="112">
        <v>1</v>
      </c>
      <c r="F65" s="38"/>
      <c r="G65" s="38">
        <v>1</v>
      </c>
      <c r="H65" s="38"/>
      <c r="I65" s="38"/>
      <c r="J65" s="38"/>
      <c r="K65" s="38"/>
      <c r="L65" s="88">
        <v>1</v>
      </c>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11</v>
      </c>
      <c r="E69" s="115">
        <f>SUM(E62:E68)</f>
        <v>1</v>
      </c>
      <c r="F69" s="116">
        <f t="shared" ref="F69:I69" si="4">SUM(F62:F68)</f>
        <v>3</v>
      </c>
      <c r="G69" s="116">
        <f t="shared" si="4"/>
        <v>4</v>
      </c>
      <c r="H69" s="116">
        <f t="shared" si="4"/>
        <v>0</v>
      </c>
      <c r="I69" s="116">
        <f t="shared" si="4"/>
        <v>0</v>
      </c>
      <c r="J69" s="116"/>
      <c r="K69" s="116">
        <f>SUM(K62:K68)</f>
        <v>1</v>
      </c>
      <c r="L69" s="117">
        <f>SUM(L62:L68)</f>
        <v>2</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66"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197</v>
      </c>
    </row>
    <row r="72" spans="1:20" ht="15" customHeight="1">
      <c r="A72" s="1874" t="s">
        <v>198</v>
      </c>
      <c r="B72" s="1899"/>
      <c r="C72" s="72">
        <v>2014</v>
      </c>
      <c r="D72" s="131"/>
      <c r="E72" s="131"/>
      <c r="F72" s="131"/>
      <c r="G72" s="132">
        <f>SUM(D72:F72)</f>
        <v>0</v>
      </c>
      <c r="H72" s="30"/>
      <c r="I72" s="133"/>
      <c r="J72" s="109"/>
      <c r="K72" s="109"/>
      <c r="L72" s="109"/>
      <c r="M72" s="109"/>
      <c r="N72" s="109"/>
      <c r="O72" s="134"/>
    </row>
    <row r="73" spans="1:20">
      <c r="A73" s="1854"/>
      <c r="B73" s="1899"/>
      <c r="C73" s="73">
        <v>2015</v>
      </c>
      <c r="D73" s="135">
        <v>4</v>
      </c>
      <c r="E73" s="135">
        <v>1</v>
      </c>
      <c r="F73" s="135"/>
      <c r="G73" s="132">
        <v>5</v>
      </c>
      <c r="H73" s="37"/>
      <c r="I73" s="37">
        <v>4</v>
      </c>
      <c r="J73" s="38"/>
      <c r="K73" s="38">
        <v>1</v>
      </c>
      <c r="L73" s="38"/>
      <c r="M73" s="38"/>
      <c r="N73" s="38"/>
      <c r="O73" s="88"/>
    </row>
    <row r="74" spans="1:20">
      <c r="A74" s="1854"/>
      <c r="B74" s="1899"/>
      <c r="C74" s="73">
        <v>2016</v>
      </c>
      <c r="D74" s="135">
        <v>10</v>
      </c>
      <c r="E74" s="439">
        <v>4</v>
      </c>
      <c r="F74" s="135"/>
      <c r="G74" s="132">
        <f t="shared" ref="G74:G78" si="5">SUM(D74:F74)</f>
        <v>14</v>
      </c>
      <c r="H74" s="37"/>
      <c r="I74" s="37">
        <v>1</v>
      </c>
      <c r="J74" s="38"/>
      <c r="K74" s="38"/>
      <c r="L74" s="38">
        <v>1</v>
      </c>
      <c r="M74" s="38"/>
      <c r="N74" s="38"/>
      <c r="O74" s="88">
        <v>12</v>
      </c>
    </row>
    <row r="75" spans="1:20">
      <c r="A75" s="1854"/>
      <c r="B75" s="1899"/>
      <c r="C75" s="73">
        <v>2017</v>
      </c>
      <c r="D75" s="135">
        <v>5</v>
      </c>
      <c r="E75" s="135">
        <v>2</v>
      </c>
      <c r="F75" s="135"/>
      <c r="G75" s="132">
        <f t="shared" si="5"/>
        <v>7</v>
      </c>
      <c r="H75" s="37">
        <v>1</v>
      </c>
      <c r="I75" s="37"/>
      <c r="J75" s="38"/>
      <c r="K75" s="38">
        <v>1</v>
      </c>
      <c r="L75" s="38"/>
      <c r="M75" s="38"/>
      <c r="N75" s="38"/>
      <c r="O75" s="88">
        <v>5</v>
      </c>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19</v>
      </c>
      <c r="E79" s="114">
        <f>SUM(E72:E78)</f>
        <v>7</v>
      </c>
      <c r="F79" s="114">
        <f>SUM(F72:F78)</f>
        <v>0</v>
      </c>
      <c r="G79" s="137">
        <f>SUM(G72:G78)</f>
        <v>26</v>
      </c>
      <c r="H79" s="138">
        <v>0</v>
      </c>
      <c r="I79" s="139">
        <f t="shared" ref="I79:O79" si="6">SUM(I72:I78)</f>
        <v>5</v>
      </c>
      <c r="J79" s="116">
        <f t="shared" si="6"/>
        <v>0</v>
      </c>
      <c r="K79" s="116">
        <f t="shared" si="6"/>
        <v>2</v>
      </c>
      <c r="L79" s="116">
        <f t="shared" si="6"/>
        <v>1</v>
      </c>
      <c r="M79" s="116">
        <f t="shared" si="6"/>
        <v>0</v>
      </c>
      <c r="N79" s="116">
        <f t="shared" si="6"/>
        <v>0</v>
      </c>
      <c r="O79" s="117">
        <f t="shared" si="6"/>
        <v>17</v>
      </c>
    </row>
    <row r="81" spans="1:16" ht="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50" customHeight="1">
      <c r="A84" s="147" t="s">
        <v>56</v>
      </c>
      <c r="B84" s="394"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v>2</v>
      </c>
      <c r="E87" s="112"/>
      <c r="F87" s="38">
        <v>1</v>
      </c>
      <c r="H87" s="38">
        <v>1</v>
      </c>
      <c r="I87" s="38"/>
      <c r="J87" s="38"/>
      <c r="K87" s="88"/>
    </row>
    <row r="88" spans="1:16">
      <c r="A88" s="1939"/>
      <c r="B88" s="1899"/>
      <c r="C88" s="73">
        <v>2017</v>
      </c>
      <c r="D88" s="156">
        <v>6</v>
      </c>
      <c r="E88" s="112">
        <v>1</v>
      </c>
      <c r="F88" s="38">
        <v>1</v>
      </c>
      <c r="G88" s="38"/>
      <c r="H88" s="38">
        <v>1</v>
      </c>
      <c r="I88" s="38">
        <v>2</v>
      </c>
      <c r="J88" s="38"/>
      <c r="K88" s="88">
        <v>1</v>
      </c>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8</v>
      </c>
      <c r="E92" s="115">
        <f t="shared" si="7"/>
        <v>1</v>
      </c>
      <c r="F92" s="116">
        <f t="shared" si="7"/>
        <v>2</v>
      </c>
      <c r="G92" s="116">
        <f t="shared" si="7"/>
        <v>0</v>
      </c>
      <c r="H92" s="116">
        <f t="shared" si="7"/>
        <v>2</v>
      </c>
      <c r="I92" s="116">
        <f t="shared" si="7"/>
        <v>2</v>
      </c>
      <c r="J92" s="116">
        <f>SUM(J85:J91)</f>
        <v>0</v>
      </c>
      <c r="K92" s="117">
        <f>SUM(K85:K91)</f>
        <v>1</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199</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3</v>
      </c>
      <c r="F99" s="177"/>
      <c r="G99" s="178"/>
      <c r="H99" s="178"/>
      <c r="I99" s="178"/>
      <c r="J99" s="178"/>
      <c r="K99" s="178"/>
      <c r="L99" s="178"/>
      <c r="M99" s="179">
        <v>1</v>
      </c>
      <c r="N99" s="165"/>
      <c r="O99" s="165"/>
      <c r="P99" s="165"/>
    </row>
    <row r="100" spans="1:16" ht="16.5" customHeight="1">
      <c r="A100" s="1891"/>
      <c r="B100" s="1899"/>
      <c r="C100" s="110">
        <v>2016</v>
      </c>
      <c r="D100" s="37">
        <v>1</v>
      </c>
      <c r="E100" s="38">
        <v>7</v>
      </c>
      <c r="F100" s="177"/>
      <c r="G100" s="178"/>
      <c r="H100" s="178"/>
      <c r="I100" s="178"/>
      <c r="J100" s="178"/>
      <c r="K100" s="178"/>
      <c r="L100" s="178"/>
      <c r="M100" s="179">
        <v>1</v>
      </c>
      <c r="N100" s="165"/>
      <c r="O100" s="165"/>
      <c r="P100" s="165"/>
    </row>
    <row r="101" spans="1:16" ht="16.5" customHeight="1">
      <c r="A101" s="1891"/>
      <c r="B101" s="1899"/>
      <c r="C101" s="110">
        <v>2017</v>
      </c>
      <c r="D101" s="37">
        <v>1</v>
      </c>
      <c r="E101" s="38">
        <v>5</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15</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t="s">
        <v>200</v>
      </c>
      <c r="B109" s="1899"/>
      <c r="C109" s="106">
        <v>2014</v>
      </c>
      <c r="D109" s="31"/>
      <c r="E109" s="174"/>
      <c r="F109" s="175"/>
      <c r="G109" s="175"/>
      <c r="H109" s="175"/>
      <c r="I109" s="175"/>
      <c r="J109" s="175"/>
      <c r="K109" s="175"/>
      <c r="L109" s="176"/>
      <c r="M109" s="185"/>
      <c r="N109" s="185"/>
    </row>
    <row r="110" spans="1:16">
      <c r="A110" s="1891"/>
      <c r="B110" s="1899"/>
      <c r="C110" s="110">
        <v>2015</v>
      </c>
      <c r="D110" s="38">
        <v>1</v>
      </c>
      <c r="E110" s="177"/>
      <c r="F110" s="178"/>
      <c r="G110" s="178"/>
      <c r="H110" s="178"/>
      <c r="I110" s="178"/>
      <c r="J110" s="178"/>
      <c r="K110" s="178"/>
      <c r="L110" s="179">
        <v>1</v>
      </c>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1</v>
      </c>
      <c r="E116" s="180">
        <f t="shared" si="9"/>
        <v>0</v>
      </c>
      <c r="F116" s="181">
        <f t="shared" si="9"/>
        <v>0</v>
      </c>
      <c r="G116" s="181">
        <f t="shared" si="9"/>
        <v>0</v>
      </c>
      <c r="H116" s="181">
        <f t="shared" si="9"/>
        <v>0</v>
      </c>
      <c r="I116" s="181">
        <f t="shared" si="9"/>
        <v>0</v>
      </c>
      <c r="J116" s="181"/>
      <c r="K116" s="181">
        <f>SUM(K109:K115)</f>
        <v>0</v>
      </c>
      <c r="L116" s="182">
        <f>SUM(L109:L115)</f>
        <v>1</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f>18*3</f>
        <v>54</v>
      </c>
      <c r="E131" s="31">
        <v>235</v>
      </c>
      <c r="F131" s="31"/>
      <c r="G131" s="195">
        <f>D131+E131</f>
        <v>289</v>
      </c>
      <c r="H131" s="185"/>
      <c r="I131" s="185"/>
      <c r="J131" s="185"/>
      <c r="K131" s="185"/>
      <c r="L131" s="185"/>
      <c r="M131" s="185"/>
      <c r="N131" s="185"/>
    </row>
    <row r="132" spans="1:16">
      <c r="A132" s="1854"/>
      <c r="B132" s="1855"/>
      <c r="C132" s="110">
        <v>2016</v>
      </c>
      <c r="D132" s="37">
        <f>18*7</f>
        <v>126</v>
      </c>
      <c r="E132" s="38"/>
      <c r="F132" s="38"/>
      <c r="G132" s="195">
        <f>D132</f>
        <v>126</v>
      </c>
      <c r="H132" s="185"/>
      <c r="I132" s="185"/>
      <c r="J132" s="185"/>
      <c r="K132" s="185"/>
      <c r="L132" s="185"/>
      <c r="M132" s="185"/>
      <c r="N132" s="185"/>
    </row>
    <row r="133" spans="1:16">
      <c r="A133" s="1854"/>
      <c r="B133" s="1855"/>
      <c r="C133" s="110">
        <v>2017</v>
      </c>
      <c r="D133" s="37">
        <v>73</v>
      </c>
      <c r="E133" s="38"/>
      <c r="F133" s="38"/>
      <c r="G133" s="195">
        <f t="shared" ref="G133:G136" si="11">SUM(D133:F133)</f>
        <v>73</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253</v>
      </c>
      <c r="E137" s="139">
        <f t="shared" ref="E137:F137" si="12">SUM(E131:E136)</f>
        <v>235</v>
      </c>
      <c r="F137" s="139">
        <f t="shared" si="12"/>
        <v>0</v>
      </c>
      <c r="G137" s="196">
        <f>SUM(G131:G136)</f>
        <v>488</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190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44.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7</v>
      </c>
      <c r="E179" s="38">
        <v>2</v>
      </c>
      <c r="F179" s="38"/>
      <c r="G179" s="284">
        <v>9</v>
      </c>
      <c r="H179" s="411">
        <v>13</v>
      </c>
      <c r="I179" s="112">
        <v>2</v>
      </c>
      <c r="J179" s="38">
        <v>2</v>
      </c>
      <c r="K179" s="38"/>
      <c r="L179" s="38">
        <v>2</v>
      </c>
      <c r="M179" s="38">
        <v>1</v>
      </c>
      <c r="N179" s="38"/>
      <c r="O179" s="88">
        <v>2</v>
      </c>
    </row>
    <row r="180" spans="1:15">
      <c r="A180" s="1891"/>
      <c r="B180" s="1899"/>
      <c r="C180" s="110">
        <v>2016</v>
      </c>
      <c r="D180" s="37">
        <v>77</v>
      </c>
      <c r="E180" s="38">
        <v>4</v>
      </c>
      <c r="F180" s="38">
        <v>1</v>
      </c>
      <c r="G180" s="284">
        <f>SUM(D180:F180)</f>
        <v>82</v>
      </c>
      <c r="H180" s="411">
        <v>89</v>
      </c>
      <c r="I180" s="112"/>
      <c r="J180" s="38">
        <v>25</v>
      </c>
      <c r="K180" s="38">
        <f>3+4+1+2+1</f>
        <v>11</v>
      </c>
      <c r="L180" s="38">
        <v>33</v>
      </c>
      <c r="M180" s="38">
        <v>6</v>
      </c>
      <c r="N180" s="38"/>
      <c r="O180" s="88">
        <v>7</v>
      </c>
    </row>
    <row r="181" spans="1:15">
      <c r="A181" s="1891"/>
      <c r="B181" s="1899"/>
      <c r="C181" s="110">
        <v>2017</v>
      </c>
      <c r="D181" s="37">
        <v>39</v>
      </c>
      <c r="E181" s="38">
        <v>4</v>
      </c>
      <c r="F181" s="38"/>
      <c r="G181" s="284">
        <f t="shared" ref="G181:G184" si="19">SUM(D181:F181)</f>
        <v>43</v>
      </c>
      <c r="H181" s="411">
        <v>51</v>
      </c>
      <c r="I181" s="112">
        <v>2</v>
      </c>
      <c r="J181" s="38">
        <v>16</v>
      </c>
      <c r="K181" s="38">
        <v>5</v>
      </c>
      <c r="L181" s="38">
        <v>14</v>
      </c>
      <c r="M181" s="38">
        <v>5</v>
      </c>
      <c r="N181" s="38"/>
      <c r="O181" s="88">
        <v>1</v>
      </c>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123</v>
      </c>
      <c r="E185" s="116">
        <f>SUM(E178:E184)</f>
        <v>10</v>
      </c>
      <c r="F185" s="116">
        <f>SUM(F178:F184)</f>
        <v>1</v>
      </c>
      <c r="G185" s="220">
        <f t="shared" ref="G185:O185" si="20">SUM(G178:G184)</f>
        <v>134</v>
      </c>
      <c r="H185" s="285">
        <f t="shared" si="20"/>
        <v>153</v>
      </c>
      <c r="I185" s="115">
        <f t="shared" si="20"/>
        <v>4</v>
      </c>
      <c r="J185" s="116">
        <f t="shared" si="20"/>
        <v>43</v>
      </c>
      <c r="K185" s="116">
        <f t="shared" si="20"/>
        <v>16</v>
      </c>
      <c r="L185" s="116">
        <f t="shared" si="20"/>
        <v>49</v>
      </c>
      <c r="M185" s="116">
        <f t="shared" si="20"/>
        <v>12</v>
      </c>
      <c r="N185" s="116">
        <f t="shared" si="20"/>
        <v>0</v>
      </c>
      <c r="O185" s="117">
        <f t="shared" si="20"/>
        <v>10</v>
      </c>
    </row>
    <row r="186" spans="1:15" ht="33" customHeight="1" thickBot="1">
      <c r="A186" t="s">
        <v>201</v>
      </c>
    </row>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102" customHeight="1">
      <c r="A188" s="1862"/>
      <c r="B188" s="1864"/>
      <c r="C188" s="1866"/>
      <c r="D188" s="286" t="s">
        <v>140</v>
      </c>
      <c r="E188" s="286" t="s">
        <v>141</v>
      </c>
      <c r="F188" s="286" t="s">
        <v>142</v>
      </c>
      <c r="G188" s="287" t="s">
        <v>13</v>
      </c>
      <c r="H188" s="288" t="s">
        <v>143</v>
      </c>
      <c r="I188" s="286" t="s">
        <v>144</v>
      </c>
      <c r="J188" s="286" t="s">
        <v>145</v>
      </c>
      <c r="K188" s="286" t="s">
        <v>146</v>
      </c>
      <c r="L188" s="289" t="s">
        <v>147</v>
      </c>
      <c r="M188" s="28"/>
    </row>
    <row r="189" spans="1:15" ht="15" customHeight="1">
      <c r="A189" s="1976" t="s">
        <v>202</v>
      </c>
      <c r="B189" s="1977"/>
      <c r="C189" s="290">
        <v>2014</v>
      </c>
      <c r="D189" s="133"/>
      <c r="E189" s="109"/>
      <c r="F189" s="109"/>
      <c r="G189" s="291">
        <f>SUM(D189:F189)</f>
        <v>0</v>
      </c>
      <c r="H189" s="108"/>
      <c r="I189" s="109"/>
      <c r="J189" s="109"/>
      <c r="K189" s="109"/>
      <c r="L189" s="134"/>
    </row>
    <row r="190" spans="1:15">
      <c r="A190" s="1978"/>
      <c r="B190" s="1855"/>
      <c r="C190" s="73">
        <v>2015</v>
      </c>
      <c r="D190" s="37">
        <v>565</v>
      </c>
      <c r="E190" s="38">
        <v>37</v>
      </c>
      <c r="F190" s="38"/>
      <c r="G190" s="291">
        <f>SUM(D190:F190)</f>
        <v>602</v>
      </c>
      <c r="H190" s="112">
        <v>5</v>
      </c>
      <c r="I190" s="38">
        <v>50</v>
      </c>
      <c r="J190" s="38"/>
      <c r="K190" s="38">
        <f>G190-H190-I190-L190</f>
        <v>331</v>
      </c>
      <c r="L190" s="88">
        <v>216</v>
      </c>
    </row>
    <row r="191" spans="1:15">
      <c r="A191" s="1978"/>
      <c r="B191" s="1855"/>
      <c r="C191" s="73">
        <v>2016</v>
      </c>
      <c r="D191" s="74">
        <v>3775</v>
      </c>
      <c r="E191" s="89">
        <v>111</v>
      </c>
      <c r="F191" s="89">
        <v>100</v>
      </c>
      <c r="G191" s="440">
        <f t="shared" ref="G191:G195" si="21">SUM(D191:F191)</f>
        <v>3986</v>
      </c>
      <c r="H191" s="112"/>
      <c r="I191" s="38">
        <v>218</v>
      </c>
      <c r="J191" s="38">
        <v>24</v>
      </c>
      <c r="K191" s="38">
        <v>2529</v>
      </c>
      <c r="L191" s="438">
        <v>1215</v>
      </c>
    </row>
    <row r="192" spans="1:15">
      <c r="A192" s="1978"/>
      <c r="B192" s="1855"/>
      <c r="C192" s="73">
        <v>2017</v>
      </c>
      <c r="D192" s="74">
        <v>1300</v>
      </c>
      <c r="E192" s="89">
        <v>195</v>
      </c>
      <c r="F192" s="89"/>
      <c r="G192" s="440">
        <f t="shared" si="21"/>
        <v>1495</v>
      </c>
      <c r="H192" s="112"/>
      <c r="I192" s="38">
        <v>68</v>
      </c>
      <c r="J192" s="38">
        <v>11</v>
      </c>
      <c r="K192" s="38">
        <v>485</v>
      </c>
      <c r="L192" s="88">
        <v>931</v>
      </c>
    </row>
    <row r="193" spans="1:14">
      <c r="A193" s="1978"/>
      <c r="B193" s="1855"/>
      <c r="C193" s="73">
        <v>2018</v>
      </c>
      <c r="D193" s="74"/>
      <c r="E193" s="89"/>
      <c r="F193" s="89"/>
      <c r="G193" s="440">
        <f t="shared" si="21"/>
        <v>0</v>
      </c>
      <c r="H193" s="112"/>
      <c r="I193" s="38"/>
      <c r="J193" s="38"/>
      <c r="K193" s="38"/>
      <c r="L193" s="88"/>
    </row>
    <row r="194" spans="1:14">
      <c r="A194" s="1978"/>
      <c r="B194" s="1855"/>
      <c r="C194" s="73">
        <v>2019</v>
      </c>
      <c r="D194" s="74"/>
      <c r="E194" s="89"/>
      <c r="F194" s="89"/>
      <c r="G194" s="440">
        <f t="shared" si="21"/>
        <v>0</v>
      </c>
      <c r="H194" s="112"/>
      <c r="I194" s="38"/>
      <c r="J194" s="38"/>
      <c r="K194" s="38"/>
      <c r="L194" s="88"/>
    </row>
    <row r="195" spans="1:14">
      <c r="A195" s="1978"/>
      <c r="B195" s="1855"/>
      <c r="C195" s="73">
        <v>2020</v>
      </c>
      <c r="D195" s="74"/>
      <c r="E195" s="89"/>
      <c r="F195" s="89"/>
      <c r="G195" s="440">
        <f t="shared" si="21"/>
        <v>0</v>
      </c>
      <c r="H195" s="112"/>
      <c r="I195" s="38"/>
      <c r="J195" s="38"/>
      <c r="K195" s="38"/>
      <c r="L195" s="88"/>
    </row>
    <row r="196" spans="1:14" ht="15.75" thickBot="1">
      <c r="A196" s="1979"/>
      <c r="B196" s="1857"/>
      <c r="C196" s="136" t="s">
        <v>13</v>
      </c>
      <c r="D196" s="441">
        <f t="shared" ref="D196:L196" si="22">SUM(D189:D195)</f>
        <v>5640</v>
      </c>
      <c r="E196" s="442">
        <f t="shared" si="22"/>
        <v>343</v>
      </c>
      <c r="F196" s="442">
        <f t="shared" si="22"/>
        <v>100</v>
      </c>
      <c r="G196" s="443">
        <f t="shared" si="22"/>
        <v>6083</v>
      </c>
      <c r="H196" s="115">
        <f t="shared" si="22"/>
        <v>5</v>
      </c>
      <c r="I196" s="116">
        <f t="shared" si="22"/>
        <v>336</v>
      </c>
      <c r="J196" s="116">
        <f t="shared" si="22"/>
        <v>35</v>
      </c>
      <c r="K196" s="116">
        <f t="shared" si="22"/>
        <v>3345</v>
      </c>
      <c r="L196" s="117">
        <f t="shared" si="22"/>
        <v>2362</v>
      </c>
    </row>
    <row r="197" spans="1:14">
      <c r="A197" s="444"/>
      <c r="B197" s="445"/>
      <c r="C197" s="81"/>
      <c r="D197" s="446"/>
      <c r="E197" s="446"/>
      <c r="F197" s="446"/>
      <c r="G197" s="446"/>
      <c r="H197" s="35"/>
      <c r="I197" s="35"/>
      <c r="J197" s="35"/>
      <c r="K197" s="35"/>
      <c r="L197" s="35"/>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296"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v>1</v>
      </c>
      <c r="K204" s="38">
        <v>40</v>
      </c>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1</v>
      </c>
      <c r="K209" s="139">
        <f t="shared" si="23"/>
        <v>40</v>
      </c>
      <c r="L209" s="139">
        <f t="shared" si="23"/>
        <v>0</v>
      </c>
    </row>
    <row r="211" spans="1:12" ht="15.75" thickBot="1"/>
    <row r="212" spans="1:12" ht="29.25">
      <c r="A212" s="321" t="s">
        <v>161</v>
      </c>
      <c r="B212" s="322" t="s">
        <v>162</v>
      </c>
      <c r="C212" s="323">
        <v>2014</v>
      </c>
      <c r="D212" s="324">
        <v>2015</v>
      </c>
      <c r="E212" s="324">
        <v>2016</v>
      </c>
      <c r="F212" s="324">
        <v>2017</v>
      </c>
      <c r="G212" s="324">
        <v>2018</v>
      </c>
      <c r="H212" s="324">
        <v>2019</v>
      </c>
      <c r="I212" s="325">
        <v>2020</v>
      </c>
    </row>
    <row r="213" spans="1:12" ht="15" customHeight="1">
      <c r="A213" s="406" t="s">
        <v>163</v>
      </c>
      <c r="B213" s="1973"/>
      <c r="C213" s="72"/>
      <c r="D213" s="328">
        <v>494568.26</v>
      </c>
      <c r="E213" s="328">
        <v>1345013.46</v>
      </c>
      <c r="F213" s="447">
        <f>F214+F215+F216+F217</f>
        <v>720882.21</v>
      </c>
      <c r="G213" s="135"/>
      <c r="H213" s="135"/>
      <c r="I213" s="326"/>
    </row>
    <row r="214" spans="1:12">
      <c r="A214" s="406" t="s">
        <v>164</v>
      </c>
      <c r="B214" s="1974"/>
      <c r="C214" s="72"/>
      <c r="D214" s="328">
        <f>D213-D216-D217</f>
        <v>326526.20999999996</v>
      </c>
      <c r="E214" s="328">
        <f>E213-E215-E216-E217</f>
        <v>721349.03999999992</v>
      </c>
      <c r="F214" s="447">
        <v>286209.3</v>
      </c>
      <c r="G214" s="135"/>
      <c r="H214" s="135"/>
      <c r="I214" s="326"/>
    </row>
    <row r="215" spans="1:12">
      <c r="A215" s="406" t="s">
        <v>165</v>
      </c>
      <c r="B215" s="1974"/>
      <c r="C215" s="72"/>
      <c r="D215" s="328">
        <v>0</v>
      </c>
      <c r="E215" s="328">
        <v>36918.61</v>
      </c>
      <c r="F215" s="447">
        <v>20838.88</v>
      </c>
      <c r="G215" s="135"/>
      <c r="H215" s="135"/>
      <c r="I215" s="326"/>
    </row>
    <row r="216" spans="1:12">
      <c r="A216" s="406" t="s">
        <v>166</v>
      </c>
      <c r="B216" s="1974"/>
      <c r="C216" s="72"/>
      <c r="D216" s="328">
        <f>32920+4007.7</f>
        <v>36927.699999999997</v>
      </c>
      <c r="E216" s="328">
        <f>84570+9041+6100+17195.4+18735+9225+10000+7500+5000+9450</f>
        <v>176816.4</v>
      </c>
      <c r="F216" s="447">
        <v>118019.04</v>
      </c>
      <c r="G216" s="135"/>
      <c r="H216" s="135"/>
      <c r="I216" s="326"/>
    </row>
    <row r="217" spans="1:12">
      <c r="A217" s="406" t="s">
        <v>167</v>
      </c>
      <c r="B217" s="1974"/>
      <c r="C217" s="72"/>
      <c r="D217" s="328">
        <f>12623.32+7870+54197.43+45800+10623.6</f>
        <v>131114.35</v>
      </c>
      <c r="E217" s="328">
        <f>79880+29384.15+5000+19935+27600+7360+46233.93+38203.06+15069.69+39708.39+20931.4+29640+10530.95+40452.84</f>
        <v>409929.41000000003</v>
      </c>
      <c r="F217" s="447">
        <v>295814.99</v>
      </c>
      <c r="G217" s="135"/>
      <c r="H217" s="135"/>
      <c r="I217" s="326"/>
    </row>
    <row r="218" spans="1:12" ht="30">
      <c r="A218" s="448" t="s">
        <v>168</v>
      </c>
      <c r="B218" s="1974"/>
      <c r="C218" s="72"/>
      <c r="D218" s="328">
        <v>123775.81</v>
      </c>
      <c r="E218" s="328">
        <v>289750.45</v>
      </c>
      <c r="F218" s="447">
        <v>272053.37</v>
      </c>
      <c r="G218" s="135"/>
      <c r="H218" s="135"/>
      <c r="I218" s="326"/>
    </row>
    <row r="219" spans="1:12" ht="15.75" thickBot="1">
      <c r="A219" s="449"/>
      <c r="B219" s="1975"/>
      <c r="C219" s="42" t="s">
        <v>13</v>
      </c>
      <c r="D219" s="332">
        <v>618344.07000000007</v>
      </c>
      <c r="E219" s="332">
        <v>1634763.91</v>
      </c>
      <c r="F219" s="450">
        <f>F213+F218</f>
        <v>992935.58</v>
      </c>
      <c r="G219" s="333">
        <f t="shared" ref="G219:I219" si="24">SUM(G214:G218)</f>
        <v>0</v>
      </c>
      <c r="H219" s="333">
        <f t="shared" si="24"/>
        <v>0</v>
      </c>
      <c r="I219" s="451">
        <f t="shared" si="24"/>
        <v>0</v>
      </c>
    </row>
    <row r="221" spans="1:12">
      <c r="D221" s="452"/>
      <c r="E221" s="327"/>
      <c r="F221" s="453"/>
    </row>
    <row r="222" spans="1:12">
      <c r="D222" s="327"/>
      <c r="E222" s="327"/>
    </row>
    <row r="223" spans="1:12">
      <c r="D223" s="327"/>
      <c r="E223" s="327"/>
    </row>
    <row r="224" spans="1:12">
      <c r="D224" s="327"/>
      <c r="E224" s="327"/>
    </row>
    <row r="225" spans="1:5">
      <c r="D225" s="327"/>
      <c r="E225" s="327"/>
    </row>
    <row r="227" spans="1:5">
      <c r="A227" s="56"/>
    </row>
    <row r="228" spans="1:5">
      <c r="D228" s="327"/>
      <c r="E228" s="327"/>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abSelected="1" topLeftCell="B199" workbookViewId="0">
      <selection activeCell="F223" sqref="F2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586</v>
      </c>
      <c r="C1" s="1944"/>
      <c r="D1" s="1944"/>
      <c r="E1" s="1944"/>
      <c r="F1" s="1944"/>
    </row>
    <row r="2" spans="1:25" s="1" customFormat="1" ht="20.100000000000001" customHeight="1" thickBot="1"/>
    <row r="3" spans="1:25" s="4" customFormat="1" ht="20.100000000000001" customHeight="1">
      <c r="A3" s="1837" t="s">
        <v>2</v>
      </c>
      <c r="B3" s="1838"/>
      <c r="C3" s="1838"/>
      <c r="D3" s="1838"/>
      <c r="E3" s="1838"/>
      <c r="F3" s="2492"/>
      <c r="G3" s="2492"/>
      <c r="H3" s="2492"/>
      <c r="I3" s="2492"/>
      <c r="J3" s="2492"/>
      <c r="K3" s="2492"/>
      <c r="L3" s="2492"/>
      <c r="M3" s="2492"/>
      <c r="N3" s="2492"/>
      <c r="O3" s="2493"/>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839"/>
      <c r="B15" s="1814"/>
      <c r="C15" s="10"/>
      <c r="D15" s="2421" t="s">
        <v>5</v>
      </c>
      <c r="E15" s="2489"/>
      <c r="F15" s="2489"/>
      <c r="G15" s="2489"/>
      <c r="H15" s="1746"/>
      <c r="I15" s="12" t="s">
        <v>6</v>
      </c>
      <c r="J15" s="13"/>
      <c r="K15" s="13"/>
      <c r="L15" s="13"/>
      <c r="M15" s="13"/>
      <c r="N15" s="13"/>
      <c r="O15" s="14"/>
      <c r="P15" s="15"/>
      <c r="Q15" s="16"/>
      <c r="R15" s="17"/>
      <c r="S15" s="17"/>
      <c r="T15" s="17"/>
      <c r="U15" s="17"/>
      <c r="V15" s="17"/>
      <c r="W15" s="15"/>
      <c r="X15" s="15"/>
      <c r="Y15" s="16"/>
    </row>
    <row r="16" spans="1:25" s="56" customFormat="1" ht="129" customHeight="1">
      <c r="A16" s="153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408"/>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378"/>
      <c r="B18" s="1855"/>
      <c r="C18" s="36">
        <v>2015</v>
      </c>
      <c r="D18" s="37"/>
      <c r="E18" s="38">
        <v>2</v>
      </c>
      <c r="F18" s="38">
        <v>1</v>
      </c>
      <c r="G18" s="32">
        <f>SUM(D18:F18)</f>
        <v>3</v>
      </c>
      <c r="H18" s="39"/>
      <c r="I18" s="38"/>
      <c r="J18" s="38"/>
      <c r="K18" s="38"/>
      <c r="L18" s="38"/>
      <c r="M18" s="38"/>
      <c r="N18" s="38">
        <v>1</v>
      </c>
      <c r="O18" s="40">
        <v>2</v>
      </c>
      <c r="P18" s="35"/>
      <c r="Q18" s="35"/>
      <c r="R18" s="35"/>
      <c r="S18" s="35"/>
      <c r="T18" s="35"/>
      <c r="U18" s="35"/>
      <c r="V18" s="35"/>
      <c r="W18" s="35"/>
      <c r="X18" s="35"/>
      <c r="Y18" s="35"/>
    </row>
    <row r="19" spans="1:25">
      <c r="A19" s="2378"/>
      <c r="B19" s="1855"/>
      <c r="C19" s="36">
        <v>2016</v>
      </c>
      <c r="D19" s="37"/>
      <c r="E19" s="38"/>
      <c r="F19" s="38"/>
      <c r="G19" s="32">
        <f t="shared" si="0"/>
        <v>0</v>
      </c>
      <c r="H19" s="39"/>
      <c r="I19" s="38"/>
      <c r="J19" s="38"/>
      <c r="K19" s="38"/>
      <c r="L19" s="38"/>
      <c r="M19" s="38"/>
      <c r="N19" s="38"/>
      <c r="O19" s="40"/>
      <c r="P19" s="35"/>
      <c r="Q19" s="35"/>
      <c r="R19" s="35"/>
      <c r="S19" s="35"/>
      <c r="T19" s="35"/>
      <c r="U19" s="35"/>
      <c r="V19" s="35"/>
      <c r="W19" s="35"/>
      <c r="X19" s="35"/>
      <c r="Y19" s="35"/>
    </row>
    <row r="20" spans="1:25">
      <c r="A20" s="2378"/>
      <c r="B20" s="1855"/>
      <c r="C20" s="36">
        <v>2017</v>
      </c>
      <c r="D20" s="37"/>
      <c r="E20" s="38"/>
      <c r="F20" s="38"/>
      <c r="G20" s="32">
        <f t="shared" si="0"/>
        <v>0</v>
      </c>
      <c r="H20" s="39"/>
      <c r="I20" s="38"/>
      <c r="J20" s="38"/>
      <c r="K20" s="38"/>
      <c r="L20" s="38"/>
      <c r="M20" s="38"/>
      <c r="N20" s="38"/>
      <c r="O20" s="40"/>
      <c r="P20" s="35"/>
      <c r="Q20" s="35"/>
      <c r="R20" s="35"/>
      <c r="S20" s="35"/>
      <c r="T20" s="35"/>
      <c r="U20" s="35"/>
      <c r="V20" s="35"/>
      <c r="W20" s="35"/>
      <c r="X20" s="35"/>
      <c r="Y20" s="35"/>
    </row>
    <row r="21" spans="1:25">
      <c r="A21" s="2378"/>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378"/>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378"/>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0</v>
      </c>
      <c r="E24" s="44">
        <f>SUM(E17:E23)</f>
        <v>2</v>
      </c>
      <c r="F24" s="44">
        <f>SUM(F17:F23)</f>
        <v>1</v>
      </c>
      <c r="G24" s="45">
        <f>SUM(D24:F24)</f>
        <v>3</v>
      </c>
      <c r="H24" s="46">
        <f>SUM(H17:H23)</f>
        <v>0</v>
      </c>
      <c r="I24" s="47">
        <f>SUM(I17:I23)</f>
        <v>0</v>
      </c>
      <c r="J24" s="47">
        <f t="shared" ref="J24:N24" si="1">SUM(J17:J23)</f>
        <v>0</v>
      </c>
      <c r="K24" s="47">
        <f t="shared" si="1"/>
        <v>0</v>
      </c>
      <c r="L24" s="47">
        <f t="shared" si="1"/>
        <v>0</v>
      </c>
      <c r="M24" s="47">
        <f t="shared" si="1"/>
        <v>0</v>
      </c>
      <c r="N24" s="47">
        <f t="shared" si="1"/>
        <v>1</v>
      </c>
      <c r="O24" s="48">
        <f>SUM(O17:O23)</f>
        <v>2</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839"/>
      <c r="B26" s="1814"/>
      <c r="C26" s="50"/>
      <c r="D26" s="2423" t="s">
        <v>5</v>
      </c>
      <c r="E26" s="2490"/>
      <c r="F26" s="2490"/>
      <c r="G26" s="2491"/>
      <c r="H26" s="15"/>
      <c r="I26" s="16"/>
      <c r="J26" s="17"/>
      <c r="K26" s="17"/>
      <c r="L26" s="17"/>
      <c r="M26" s="17"/>
      <c r="N26" s="17"/>
      <c r="O26" s="15"/>
      <c r="P26" s="15"/>
    </row>
    <row r="27" spans="1:25" s="56" customFormat="1" ht="93" customHeight="1">
      <c r="A27" s="171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408"/>
      <c r="B28" s="1855"/>
      <c r="C28" s="57">
        <v>2014</v>
      </c>
      <c r="D28" s="33"/>
      <c r="E28" s="31"/>
      <c r="F28" s="31"/>
      <c r="G28" s="58">
        <f>SUM(D28:F28)</f>
        <v>0</v>
      </c>
      <c r="H28" s="35"/>
      <c r="I28" s="35"/>
      <c r="J28" s="35"/>
      <c r="K28" s="35"/>
      <c r="L28" s="35"/>
      <c r="M28" s="35"/>
      <c r="N28" s="35"/>
      <c r="O28" s="35"/>
      <c r="P28" s="35"/>
      <c r="Q28" s="7"/>
    </row>
    <row r="29" spans="1:25">
      <c r="A29" s="2378"/>
      <c r="B29" s="1855"/>
      <c r="C29" s="59">
        <v>2015</v>
      </c>
      <c r="D29" s="39">
        <v>192</v>
      </c>
      <c r="E29" s="38">
        <v>1026</v>
      </c>
      <c r="F29" s="38">
        <v>26</v>
      </c>
      <c r="G29" s="58">
        <f t="shared" ref="G29:G35" si="2">SUM(D29:F29)</f>
        <v>1244</v>
      </c>
      <c r="H29" s="35"/>
      <c r="I29" s="35"/>
      <c r="J29" s="35"/>
      <c r="K29" s="35"/>
      <c r="L29" s="35"/>
      <c r="M29" s="35"/>
      <c r="N29" s="35"/>
      <c r="O29" s="35"/>
      <c r="P29" s="35"/>
      <c r="Q29" s="7"/>
    </row>
    <row r="30" spans="1:25">
      <c r="A30" s="2378"/>
      <c r="B30" s="1855"/>
      <c r="C30" s="59">
        <v>2016</v>
      </c>
      <c r="D30" s="39"/>
      <c r="E30" s="38"/>
      <c r="F30" s="38"/>
      <c r="G30" s="58">
        <f t="shared" si="2"/>
        <v>0</v>
      </c>
      <c r="H30" s="35"/>
      <c r="I30" s="35"/>
      <c r="J30" s="35"/>
      <c r="K30" s="35"/>
      <c r="L30" s="35"/>
      <c r="M30" s="35"/>
      <c r="N30" s="35"/>
      <c r="O30" s="35"/>
      <c r="P30" s="35"/>
      <c r="Q30" s="7"/>
    </row>
    <row r="31" spans="1:25">
      <c r="A31" s="2378"/>
      <c r="B31" s="1855"/>
      <c r="C31" s="59">
        <v>2017</v>
      </c>
      <c r="D31" s="39"/>
      <c r="E31" s="38"/>
      <c r="F31" s="38"/>
      <c r="G31" s="58">
        <f t="shared" si="2"/>
        <v>0</v>
      </c>
      <c r="H31" s="35"/>
      <c r="I31" s="35"/>
      <c r="J31" s="35"/>
      <c r="K31" s="35"/>
      <c r="L31" s="35"/>
      <c r="M31" s="35"/>
      <c r="N31" s="35"/>
      <c r="O31" s="35"/>
      <c r="P31" s="35"/>
      <c r="Q31" s="7"/>
    </row>
    <row r="32" spans="1:25">
      <c r="A32" s="2378"/>
      <c r="B32" s="1855"/>
      <c r="C32" s="59">
        <v>2018</v>
      </c>
      <c r="D32" s="39"/>
      <c r="E32" s="38"/>
      <c r="F32" s="38"/>
      <c r="G32" s="58">
        <f>SUM(D32:F32)</f>
        <v>0</v>
      </c>
      <c r="H32" s="35"/>
      <c r="I32" s="35"/>
      <c r="J32" s="35"/>
      <c r="K32" s="35"/>
      <c r="L32" s="35"/>
      <c r="M32" s="35"/>
      <c r="N32" s="35"/>
      <c r="O32" s="35"/>
      <c r="P32" s="35"/>
      <c r="Q32" s="7"/>
    </row>
    <row r="33" spans="1:17">
      <c r="A33" s="2378"/>
      <c r="B33" s="1855"/>
      <c r="C33" s="60">
        <v>2019</v>
      </c>
      <c r="D33" s="39"/>
      <c r="E33" s="38"/>
      <c r="F33" s="38"/>
      <c r="G33" s="58">
        <f t="shared" si="2"/>
        <v>0</v>
      </c>
      <c r="H33" s="35"/>
      <c r="I33" s="35"/>
      <c r="J33" s="35"/>
      <c r="K33" s="35"/>
      <c r="L33" s="35"/>
      <c r="M33" s="35"/>
      <c r="N33" s="35"/>
      <c r="O33" s="35"/>
      <c r="P33" s="35"/>
      <c r="Q33" s="7"/>
    </row>
    <row r="34" spans="1:17">
      <c r="A34" s="2378"/>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192</v>
      </c>
      <c r="E35" s="44">
        <f>SUM(E28:E34)</f>
        <v>1026</v>
      </c>
      <c r="F35" s="44">
        <f>SUM(F28:F34)</f>
        <v>26</v>
      </c>
      <c r="G35" s="48">
        <f t="shared" si="2"/>
        <v>1244</v>
      </c>
      <c r="H35" s="35"/>
      <c r="I35" s="35"/>
      <c r="J35" s="35"/>
      <c r="K35" s="35"/>
      <c r="L35" s="35"/>
      <c r="M35" s="35"/>
      <c r="N35" s="35"/>
      <c r="O35" s="35"/>
      <c r="P35" s="35"/>
      <c r="Q35" s="7"/>
    </row>
    <row r="36" spans="1:17">
      <c r="A36" s="1810"/>
      <c r="B36" s="1810"/>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840" t="s">
        <v>26</v>
      </c>
      <c r="B39" s="1816" t="s">
        <v>171</v>
      </c>
      <c r="C39" s="68" t="s">
        <v>9</v>
      </c>
      <c r="D39" s="1750" t="s">
        <v>28</v>
      </c>
      <c r="E39" s="70" t="s">
        <v>29</v>
      </c>
      <c r="F39" s="71"/>
      <c r="G39" s="28"/>
      <c r="H39" s="28"/>
    </row>
    <row r="40" spans="1:17">
      <c r="A40" s="2408"/>
      <c r="B40" s="1855"/>
      <c r="C40" s="72">
        <v>2014</v>
      </c>
      <c r="D40" s="30"/>
      <c r="E40" s="29"/>
      <c r="F40" s="7"/>
      <c r="G40" s="35"/>
      <c r="H40" s="35"/>
    </row>
    <row r="41" spans="1:17">
      <c r="A41" s="2378"/>
      <c r="B41" s="1855"/>
      <c r="C41" s="73">
        <v>2015</v>
      </c>
      <c r="D41" s="37">
        <v>169681</v>
      </c>
      <c r="E41" s="36">
        <v>37883</v>
      </c>
      <c r="F41" s="7"/>
      <c r="G41" s="35"/>
      <c r="H41" s="35"/>
    </row>
    <row r="42" spans="1:17">
      <c r="A42" s="2378"/>
      <c r="B42" s="1855"/>
      <c r="C42" s="73">
        <v>2016</v>
      </c>
      <c r="D42" s="37">
        <v>358257</v>
      </c>
      <c r="E42" s="36">
        <v>74829</v>
      </c>
      <c r="F42" s="7"/>
      <c r="G42" s="35"/>
      <c r="H42" s="35"/>
    </row>
    <row r="43" spans="1:17">
      <c r="A43" s="2378"/>
      <c r="B43" s="1855"/>
      <c r="C43" s="73">
        <v>2017</v>
      </c>
      <c r="D43" s="37">
        <v>138619</v>
      </c>
      <c r="E43" s="36">
        <v>74883</v>
      </c>
      <c r="F43" s="7"/>
      <c r="G43" s="35"/>
      <c r="H43" s="35"/>
    </row>
    <row r="44" spans="1:17">
      <c r="A44" s="2378"/>
      <c r="B44" s="1855"/>
      <c r="C44" s="73">
        <v>2018</v>
      </c>
      <c r="D44" s="37"/>
      <c r="E44" s="36"/>
      <c r="F44" s="7"/>
      <c r="G44" s="35"/>
      <c r="H44" s="35"/>
    </row>
    <row r="45" spans="1:17">
      <c r="A45" s="2378"/>
      <c r="B45" s="1855"/>
      <c r="C45" s="73">
        <v>2019</v>
      </c>
      <c r="D45" s="37"/>
      <c r="E45" s="36"/>
      <c r="F45" s="7"/>
      <c r="G45" s="35"/>
      <c r="H45" s="35"/>
    </row>
    <row r="46" spans="1:17">
      <c r="A46" s="2378"/>
      <c r="B46" s="1855"/>
      <c r="C46" s="73">
        <v>2020</v>
      </c>
      <c r="D46" s="37"/>
      <c r="E46" s="36"/>
      <c r="F46" s="7"/>
      <c r="G46" s="35"/>
      <c r="H46" s="35"/>
    </row>
    <row r="47" spans="1:17" ht="15.75" thickBot="1">
      <c r="A47" s="1856"/>
      <c r="B47" s="1857"/>
      <c r="C47" s="42" t="s">
        <v>13</v>
      </c>
      <c r="D47" s="43">
        <f>SUM(D40:D46)</f>
        <v>666557</v>
      </c>
      <c r="E47" s="455">
        <f>SUM(E40:E46)</f>
        <v>187595</v>
      </c>
      <c r="F47" s="78"/>
      <c r="G47" s="35"/>
      <c r="H47" s="35"/>
    </row>
    <row r="48" spans="1:17" s="35" customFormat="1" ht="15.75" thickBot="1">
      <c r="A48" s="1817"/>
      <c r="B48" s="80"/>
      <c r="C48" s="81"/>
    </row>
    <row r="49" spans="1:15" ht="83.25" customHeight="1">
      <c r="A49" s="1753" t="s">
        <v>32</v>
      </c>
      <c r="B49" s="1816" t="s">
        <v>171</v>
      </c>
      <c r="C49" s="84" t="s">
        <v>9</v>
      </c>
      <c r="D49" s="1750"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2408"/>
      <c r="B51" s="1881"/>
      <c r="C51" s="73">
        <v>2014</v>
      </c>
      <c r="D51" s="37"/>
      <c r="E51" s="38"/>
      <c r="F51" s="38"/>
      <c r="G51" s="38"/>
      <c r="H51" s="38"/>
      <c r="I51" s="38"/>
      <c r="J51" s="38"/>
      <c r="K51" s="88"/>
    </row>
    <row r="52" spans="1:15">
      <c r="A52" s="2408"/>
      <c r="B52" s="1881"/>
      <c r="C52" s="73">
        <v>2015</v>
      </c>
      <c r="D52" s="37">
        <v>2</v>
      </c>
      <c r="E52" s="38"/>
      <c r="F52" s="38"/>
      <c r="G52" s="38">
        <v>563</v>
      </c>
      <c r="H52" s="339">
        <v>9</v>
      </c>
      <c r="I52" s="38">
        <v>11</v>
      </c>
      <c r="J52" s="38">
        <v>66</v>
      </c>
      <c r="K52" s="340">
        <v>1719</v>
      </c>
    </row>
    <row r="53" spans="1:15">
      <c r="A53" s="2408"/>
      <c r="B53" s="1881"/>
      <c r="C53" s="73">
        <v>2016</v>
      </c>
      <c r="D53" s="37">
        <v>2</v>
      </c>
      <c r="E53" s="38">
        <v>0</v>
      </c>
      <c r="F53" s="38">
        <v>1</v>
      </c>
      <c r="G53" s="38">
        <v>943</v>
      </c>
      <c r="H53" s="38">
        <v>34</v>
      </c>
      <c r="I53" s="38">
        <v>76</v>
      </c>
      <c r="J53" s="38">
        <v>220</v>
      </c>
      <c r="K53" s="88">
        <v>3259</v>
      </c>
    </row>
    <row r="54" spans="1:15">
      <c r="A54" s="2408"/>
      <c r="B54" s="1881"/>
      <c r="C54" s="73">
        <v>2017</v>
      </c>
      <c r="D54" s="37">
        <v>2</v>
      </c>
      <c r="E54" s="38">
        <v>0</v>
      </c>
      <c r="F54" s="38">
        <v>1</v>
      </c>
      <c r="G54" s="38">
        <v>1253</v>
      </c>
      <c r="H54" s="38">
        <v>119</v>
      </c>
      <c r="I54" s="38">
        <v>85</v>
      </c>
      <c r="J54" s="38">
        <v>138</v>
      </c>
      <c r="K54" s="88">
        <v>7581</v>
      </c>
    </row>
    <row r="55" spans="1:15">
      <c r="A55" s="2408"/>
      <c r="B55" s="1881"/>
      <c r="C55" s="73">
        <v>2018</v>
      </c>
      <c r="D55" s="37"/>
      <c r="E55" s="38"/>
      <c r="F55" s="38"/>
      <c r="G55" s="38"/>
      <c r="H55" s="38"/>
      <c r="I55" s="38"/>
      <c r="J55" s="38"/>
      <c r="K55" s="88"/>
    </row>
    <row r="56" spans="1:15">
      <c r="A56" s="2408"/>
      <c r="B56" s="1881"/>
      <c r="C56" s="73">
        <v>2019</v>
      </c>
      <c r="D56" s="37"/>
      <c r="E56" s="38"/>
      <c r="F56" s="38"/>
      <c r="G56" s="38"/>
      <c r="H56" s="38"/>
      <c r="I56" s="38"/>
      <c r="J56" s="38"/>
      <c r="K56" s="88"/>
    </row>
    <row r="57" spans="1:15">
      <c r="A57" s="2408"/>
      <c r="B57" s="1881"/>
      <c r="C57" s="73">
        <v>2020</v>
      </c>
      <c r="D57" s="37"/>
      <c r="E57" s="38"/>
      <c r="F57" s="38"/>
      <c r="G57" s="38"/>
      <c r="H57" s="38"/>
      <c r="I57" s="38"/>
      <c r="J57" s="38"/>
      <c r="K57" s="93"/>
    </row>
    <row r="58" spans="1:15" ht="20.25" customHeight="1" thickBot="1">
      <c r="A58" s="1876"/>
      <c r="B58" s="1883"/>
      <c r="C58" s="42" t="s">
        <v>13</v>
      </c>
      <c r="D58" s="43">
        <f>SUM(D51:D57)</f>
        <v>6</v>
      </c>
      <c r="E58" s="44">
        <f>SUM(E51:E57)</f>
        <v>0</v>
      </c>
      <c r="F58" s="44">
        <f>SUM(F51:F57)</f>
        <v>2</v>
      </c>
      <c r="G58" s="44">
        <f>SUM(G51:G57)</f>
        <v>2759</v>
      </c>
      <c r="H58" s="44">
        <f>SUM(H51:H57)</f>
        <v>162</v>
      </c>
      <c r="I58" s="44">
        <f t="shared" ref="I58" si="3">SUM(I51:I57)</f>
        <v>172</v>
      </c>
      <c r="J58" s="44">
        <f>SUM(J51:J57)</f>
        <v>424</v>
      </c>
      <c r="K58" s="48">
        <f>SUM(K50:K56)</f>
        <v>12559</v>
      </c>
    </row>
    <row r="59" spans="1:15" ht="15.75" thickBot="1"/>
    <row r="60" spans="1:15" ht="21" customHeight="1">
      <c r="A60" s="2494" t="s">
        <v>44</v>
      </c>
      <c r="B60" s="1818"/>
      <c r="C60" s="2486" t="s">
        <v>9</v>
      </c>
      <c r="D60" s="2417" t="s">
        <v>45</v>
      </c>
      <c r="E60" s="1541" t="s">
        <v>6</v>
      </c>
      <c r="F60" s="1819"/>
      <c r="G60" s="1819"/>
      <c r="H60" s="1819"/>
      <c r="I60" s="1819"/>
      <c r="J60" s="1819"/>
      <c r="K60" s="1819"/>
      <c r="L60" s="1820"/>
    </row>
    <row r="61" spans="1:15" ht="115.5" customHeight="1">
      <c r="A61" s="2428"/>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495" t="s">
        <v>587</v>
      </c>
      <c r="B62" s="2495"/>
      <c r="C62" s="106">
        <v>2014</v>
      </c>
      <c r="D62" s="107"/>
      <c r="E62" s="108"/>
      <c r="F62" s="109"/>
      <c r="G62" s="109"/>
      <c r="H62" s="109"/>
      <c r="I62" s="109"/>
      <c r="J62" s="109"/>
      <c r="K62" s="109"/>
      <c r="L62" s="34"/>
      <c r="M62" s="7"/>
      <c r="N62" s="7"/>
      <c r="O62" s="7"/>
    </row>
    <row r="63" spans="1:15">
      <c r="A63" s="2495"/>
      <c r="B63" s="2495"/>
      <c r="C63" s="110">
        <v>2015</v>
      </c>
      <c r="D63" s="111">
        <v>4</v>
      </c>
      <c r="E63" s="112">
        <v>1</v>
      </c>
      <c r="F63" s="38"/>
      <c r="G63" s="38"/>
      <c r="H63" s="38"/>
      <c r="I63" s="38"/>
      <c r="J63" s="38"/>
      <c r="K63" s="38"/>
      <c r="L63" s="88">
        <v>3</v>
      </c>
      <c r="M63" s="7"/>
      <c r="N63" s="7"/>
      <c r="O63" s="7"/>
    </row>
    <row r="64" spans="1:15">
      <c r="A64" s="2495"/>
      <c r="B64" s="2495"/>
      <c r="C64" s="110">
        <v>2016</v>
      </c>
      <c r="D64" s="111">
        <v>0</v>
      </c>
      <c r="E64" s="112"/>
      <c r="F64" s="38"/>
      <c r="G64" s="38"/>
      <c r="H64" s="38"/>
      <c r="I64" s="38"/>
      <c r="J64" s="38"/>
      <c r="K64" s="38"/>
      <c r="L64" s="88"/>
      <c r="M64" s="7"/>
      <c r="N64" s="7"/>
      <c r="O64" s="7"/>
    </row>
    <row r="65" spans="1:20">
      <c r="A65" s="2495"/>
      <c r="B65" s="2495"/>
      <c r="C65" s="110">
        <v>2017</v>
      </c>
      <c r="D65" s="111">
        <v>0</v>
      </c>
      <c r="E65" s="112"/>
      <c r="F65" s="38"/>
      <c r="G65" s="38"/>
      <c r="H65" s="38"/>
      <c r="I65" s="38"/>
      <c r="J65" s="38"/>
      <c r="K65" s="38"/>
      <c r="L65" s="88"/>
      <c r="M65" s="7"/>
      <c r="N65" s="7"/>
      <c r="O65" s="7"/>
    </row>
    <row r="66" spans="1:20">
      <c r="A66" s="2495"/>
      <c r="B66" s="2495"/>
      <c r="C66" s="110">
        <v>2018</v>
      </c>
      <c r="D66" s="111"/>
      <c r="E66" s="112"/>
      <c r="F66" s="38"/>
      <c r="G66" s="38"/>
      <c r="H66" s="38"/>
      <c r="I66" s="38"/>
      <c r="J66" s="38"/>
      <c r="K66" s="38"/>
      <c r="L66" s="88"/>
      <c r="M66" s="7"/>
      <c r="N66" s="7"/>
      <c r="O66" s="7"/>
    </row>
    <row r="67" spans="1:20" ht="17.25" customHeight="1">
      <c r="A67" s="2495"/>
      <c r="B67" s="2495"/>
      <c r="C67" s="110">
        <v>2019</v>
      </c>
      <c r="D67" s="111"/>
      <c r="E67" s="112"/>
      <c r="F67" s="38"/>
      <c r="G67" s="38"/>
      <c r="H67" s="38"/>
      <c r="I67" s="38"/>
      <c r="J67" s="38"/>
      <c r="K67" s="38"/>
      <c r="L67" s="88"/>
      <c r="M67" s="7"/>
      <c r="N67" s="7"/>
      <c r="O67" s="7"/>
    </row>
    <row r="68" spans="1:20" ht="16.5" customHeight="1">
      <c r="A68" s="2495"/>
      <c r="B68" s="2495"/>
      <c r="C68" s="110">
        <v>2020</v>
      </c>
      <c r="D68" s="111"/>
      <c r="E68" s="112"/>
      <c r="F68" s="38"/>
      <c r="G68" s="38"/>
      <c r="H68" s="38"/>
      <c r="I68" s="38"/>
      <c r="J68" s="38"/>
      <c r="K68" s="38"/>
      <c r="L68" s="88"/>
      <c r="M68" s="78"/>
      <c r="N68" s="78"/>
      <c r="O68" s="78"/>
    </row>
    <row r="69" spans="1:20" ht="18" customHeight="1" thickBot="1">
      <c r="A69" s="2496"/>
      <c r="B69" s="2496"/>
      <c r="C69" s="113" t="s">
        <v>13</v>
      </c>
      <c r="D69" s="114">
        <f>SUM(D62:D68)</f>
        <v>4</v>
      </c>
      <c r="E69" s="115">
        <f>SUM(E62:E68)</f>
        <v>1</v>
      </c>
      <c r="F69" s="116">
        <f t="shared" ref="F69:I69" si="4">SUM(F62:F68)</f>
        <v>0</v>
      </c>
      <c r="G69" s="116">
        <f t="shared" si="4"/>
        <v>0</v>
      </c>
      <c r="H69" s="116">
        <f t="shared" si="4"/>
        <v>0</v>
      </c>
      <c r="I69" s="116">
        <f t="shared" si="4"/>
        <v>0</v>
      </c>
      <c r="J69" s="116"/>
      <c r="K69" s="116">
        <f>SUM(K62:K68)</f>
        <v>0</v>
      </c>
      <c r="L69" s="117">
        <f>SUM(L62:L68)</f>
        <v>3</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840" t="s">
        <v>47</v>
      </c>
      <c r="B71" s="1816" t="s">
        <v>171</v>
      </c>
      <c r="C71" s="68" t="s">
        <v>9</v>
      </c>
      <c r="D71" s="123" t="s">
        <v>49</v>
      </c>
      <c r="E71" s="123" t="s">
        <v>50</v>
      </c>
      <c r="F71" s="124" t="s">
        <v>51</v>
      </c>
      <c r="G71" s="1754" t="s">
        <v>52</v>
      </c>
      <c r="H71" s="126" t="s">
        <v>14</v>
      </c>
      <c r="I71" s="127" t="s">
        <v>15</v>
      </c>
      <c r="J71" s="128" t="s">
        <v>16</v>
      </c>
      <c r="K71" s="127" t="s">
        <v>17</v>
      </c>
      <c r="L71" s="127" t="s">
        <v>18</v>
      </c>
      <c r="M71" s="129" t="s">
        <v>19</v>
      </c>
      <c r="N71" s="128" t="s">
        <v>20</v>
      </c>
      <c r="O71" s="130" t="s">
        <v>21</v>
      </c>
    </row>
    <row r="72" spans="1:20" ht="15" customHeight="1">
      <c r="A72" s="2495" t="s">
        <v>588</v>
      </c>
      <c r="B72" s="2495"/>
      <c r="C72" s="72">
        <v>2014</v>
      </c>
      <c r="D72" s="131"/>
      <c r="E72" s="131"/>
      <c r="F72" s="131"/>
      <c r="G72" s="132">
        <f>SUM(D72:F72)</f>
        <v>0</v>
      </c>
      <c r="H72" s="30"/>
      <c r="I72" s="133"/>
      <c r="J72" s="109"/>
      <c r="K72" s="109"/>
      <c r="L72" s="109"/>
      <c r="M72" s="109"/>
      <c r="N72" s="109"/>
      <c r="O72" s="134"/>
    </row>
    <row r="73" spans="1:20">
      <c r="A73" s="2495"/>
      <c r="B73" s="2495"/>
      <c r="C73" s="73">
        <v>2015</v>
      </c>
      <c r="D73" s="135"/>
      <c r="E73" s="135"/>
      <c r="F73" s="135">
        <v>2</v>
      </c>
      <c r="G73" s="132">
        <f t="shared" ref="G73:G78" si="5">SUM(D73:F73)</f>
        <v>2</v>
      </c>
      <c r="H73" s="37"/>
      <c r="I73" s="37"/>
      <c r="J73" s="38"/>
      <c r="K73" s="38"/>
      <c r="L73" s="38"/>
      <c r="M73" s="38"/>
      <c r="N73" s="38"/>
      <c r="O73" s="88">
        <v>2</v>
      </c>
    </row>
    <row r="74" spans="1:20">
      <c r="A74" s="2495"/>
      <c r="B74" s="2495"/>
      <c r="C74" s="73">
        <v>2016</v>
      </c>
      <c r="D74" s="135">
        <v>0</v>
      </c>
      <c r="E74" s="135"/>
      <c r="F74" s="135"/>
      <c r="G74" s="132">
        <f t="shared" si="5"/>
        <v>0</v>
      </c>
      <c r="H74" s="37"/>
      <c r="I74" s="37"/>
      <c r="J74" s="38"/>
      <c r="K74" s="38"/>
      <c r="L74" s="38"/>
      <c r="M74" s="38"/>
      <c r="N74" s="38"/>
      <c r="O74" s="88"/>
    </row>
    <row r="75" spans="1:20">
      <c r="A75" s="2495"/>
      <c r="B75" s="2495"/>
      <c r="C75" s="73">
        <v>2017</v>
      </c>
      <c r="D75" s="135">
        <v>0</v>
      </c>
      <c r="E75" s="135"/>
      <c r="F75" s="135"/>
      <c r="G75" s="132">
        <f t="shared" si="5"/>
        <v>0</v>
      </c>
      <c r="H75" s="37"/>
      <c r="I75" s="37"/>
      <c r="J75" s="38"/>
      <c r="K75" s="38"/>
      <c r="L75" s="38"/>
      <c r="M75" s="38"/>
      <c r="N75" s="38"/>
      <c r="O75" s="88"/>
    </row>
    <row r="76" spans="1:20">
      <c r="A76" s="2495"/>
      <c r="B76" s="2495"/>
      <c r="C76" s="73">
        <v>2018</v>
      </c>
      <c r="D76" s="135"/>
      <c r="E76" s="135"/>
      <c r="F76" s="135"/>
      <c r="G76" s="132">
        <f t="shared" si="5"/>
        <v>0</v>
      </c>
      <c r="H76" s="37"/>
      <c r="I76" s="37"/>
      <c r="J76" s="38"/>
      <c r="K76" s="38"/>
      <c r="L76" s="38"/>
      <c r="M76" s="38"/>
      <c r="N76" s="38"/>
      <c r="O76" s="88"/>
    </row>
    <row r="77" spans="1:20" ht="15.75" customHeight="1">
      <c r="A77" s="2495"/>
      <c r="B77" s="2495"/>
      <c r="C77" s="73">
        <v>2019</v>
      </c>
      <c r="D77" s="135"/>
      <c r="E77" s="135"/>
      <c r="F77" s="135"/>
      <c r="G77" s="132">
        <f t="shared" si="5"/>
        <v>0</v>
      </c>
      <c r="H77" s="37"/>
      <c r="I77" s="37"/>
      <c r="J77" s="38"/>
      <c r="K77" s="38"/>
      <c r="L77" s="38"/>
      <c r="M77" s="38"/>
      <c r="N77" s="38"/>
      <c r="O77" s="88"/>
    </row>
    <row r="78" spans="1:20" ht="17.25" customHeight="1">
      <c r="A78" s="2495"/>
      <c r="B78" s="2495"/>
      <c r="C78" s="73">
        <v>2020</v>
      </c>
      <c r="D78" s="135"/>
      <c r="E78" s="135"/>
      <c r="F78" s="135"/>
      <c r="G78" s="132">
        <f t="shared" si="5"/>
        <v>0</v>
      </c>
      <c r="H78" s="37"/>
      <c r="I78" s="37"/>
      <c r="J78" s="38"/>
      <c r="K78" s="38"/>
      <c r="L78" s="38"/>
      <c r="M78" s="38"/>
      <c r="N78" s="38"/>
      <c r="O78" s="88"/>
    </row>
    <row r="79" spans="1:20" ht="20.25" customHeight="1" thickBot="1">
      <c r="A79" s="2496"/>
      <c r="B79" s="2496"/>
      <c r="C79" s="136" t="s">
        <v>13</v>
      </c>
      <c r="D79" s="114">
        <f>SUM(D72:D78)</f>
        <v>0</v>
      </c>
      <c r="E79" s="114">
        <f>SUM(E72:E78)</f>
        <v>0</v>
      </c>
      <c r="F79" s="114">
        <f>SUM(F72:F78)</f>
        <v>2</v>
      </c>
      <c r="G79" s="137">
        <f>SUM(G72:G78)</f>
        <v>2</v>
      </c>
      <c r="H79" s="138">
        <v>0</v>
      </c>
      <c r="I79" s="139">
        <f t="shared" ref="I79:O79" si="6">SUM(I72:I78)</f>
        <v>0</v>
      </c>
      <c r="J79" s="116">
        <f t="shared" si="6"/>
        <v>0</v>
      </c>
      <c r="K79" s="116">
        <f t="shared" si="6"/>
        <v>0</v>
      </c>
      <c r="L79" s="116">
        <f t="shared" si="6"/>
        <v>0</v>
      </c>
      <c r="M79" s="116">
        <f t="shared" si="6"/>
        <v>0</v>
      </c>
      <c r="N79" s="116">
        <f t="shared" si="6"/>
        <v>0</v>
      </c>
      <c r="O79" s="117">
        <f t="shared" si="6"/>
        <v>2</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841" t="s">
        <v>56</v>
      </c>
      <c r="B84" s="1821" t="s">
        <v>178</v>
      </c>
      <c r="C84" s="149" t="s">
        <v>9</v>
      </c>
      <c r="D84" s="1755" t="s">
        <v>58</v>
      </c>
      <c r="E84" s="151" t="s">
        <v>59</v>
      </c>
      <c r="F84" s="152" t="s">
        <v>60</v>
      </c>
      <c r="G84" s="152" t="s">
        <v>61</v>
      </c>
      <c r="H84" s="152" t="s">
        <v>62</v>
      </c>
      <c r="I84" s="152" t="s">
        <v>63</v>
      </c>
      <c r="J84" s="152" t="s">
        <v>64</v>
      </c>
      <c r="K84" s="153" t="s">
        <v>65</v>
      </c>
    </row>
    <row r="85" spans="1:16" ht="15" customHeight="1">
      <c r="A85" s="2416" t="s">
        <v>589</v>
      </c>
      <c r="B85" s="1899"/>
      <c r="C85" s="72">
        <v>2014</v>
      </c>
      <c r="D85" s="154"/>
      <c r="E85" s="155"/>
      <c r="F85" s="31"/>
      <c r="G85" s="31"/>
      <c r="H85" s="31"/>
      <c r="I85" s="31"/>
      <c r="J85" s="31"/>
      <c r="K85" s="34"/>
    </row>
    <row r="86" spans="1:16">
      <c r="A86" s="2416"/>
      <c r="B86" s="1899"/>
      <c r="C86" s="73">
        <v>2015</v>
      </c>
      <c r="D86" s="156"/>
      <c r="E86" s="112"/>
      <c r="F86" s="38"/>
      <c r="G86" s="38"/>
      <c r="H86" s="38"/>
      <c r="I86" s="38"/>
      <c r="J86" s="38"/>
      <c r="K86" s="88"/>
    </row>
    <row r="87" spans="1:16">
      <c r="A87" s="2416"/>
      <c r="B87" s="1899"/>
      <c r="C87" s="73">
        <v>2016</v>
      </c>
      <c r="D87" s="156"/>
      <c r="E87" s="112"/>
      <c r="F87" s="38"/>
      <c r="G87" s="38"/>
      <c r="H87" s="38"/>
      <c r="I87" s="38"/>
      <c r="J87" s="38"/>
      <c r="K87" s="88"/>
    </row>
    <row r="88" spans="1:16">
      <c r="A88" s="2416"/>
      <c r="B88" s="1899"/>
      <c r="C88" s="73">
        <v>2017</v>
      </c>
      <c r="D88" s="156">
        <v>45</v>
      </c>
      <c r="E88" s="112">
        <v>1</v>
      </c>
      <c r="F88" s="38">
        <v>2</v>
      </c>
      <c r="G88" s="38">
        <v>1</v>
      </c>
      <c r="H88" s="38">
        <v>21</v>
      </c>
      <c r="I88" s="38">
        <v>20</v>
      </c>
      <c r="J88" s="38"/>
      <c r="K88" s="88"/>
    </row>
    <row r="89" spans="1:16">
      <c r="A89" s="2416"/>
      <c r="B89" s="1899"/>
      <c r="C89" s="73">
        <v>2018</v>
      </c>
      <c r="D89" s="156"/>
      <c r="E89" s="112"/>
      <c r="F89" s="38"/>
      <c r="G89" s="38"/>
      <c r="H89" s="38"/>
      <c r="I89" s="38"/>
      <c r="J89" s="38"/>
      <c r="K89" s="88"/>
    </row>
    <row r="90" spans="1:16">
      <c r="A90" s="2416"/>
      <c r="B90" s="1899"/>
      <c r="C90" s="73">
        <v>2019</v>
      </c>
      <c r="D90" s="156"/>
      <c r="E90" s="112"/>
      <c r="F90" s="38"/>
      <c r="G90" s="38"/>
      <c r="H90" s="38"/>
      <c r="I90" s="38"/>
      <c r="J90" s="38"/>
      <c r="K90" s="88"/>
    </row>
    <row r="91" spans="1:16">
      <c r="A91" s="2416"/>
      <c r="B91" s="1899"/>
      <c r="C91" s="73">
        <v>2020</v>
      </c>
      <c r="D91" s="156"/>
      <c r="E91" s="112"/>
      <c r="F91" s="38"/>
      <c r="G91" s="38"/>
      <c r="H91" s="38"/>
      <c r="I91" s="38"/>
      <c r="J91" s="38"/>
      <c r="K91" s="88"/>
    </row>
    <row r="92" spans="1:16" ht="18" customHeight="1" thickBot="1">
      <c r="A92" s="1940"/>
      <c r="B92" s="1900"/>
      <c r="C92" s="136" t="s">
        <v>13</v>
      </c>
      <c r="D92" s="157">
        <f t="shared" ref="D92:I92" si="7">SUM(D85:D91)</f>
        <v>45</v>
      </c>
      <c r="E92" s="115">
        <f t="shared" si="7"/>
        <v>1</v>
      </c>
      <c r="F92" s="116">
        <f t="shared" si="7"/>
        <v>2</v>
      </c>
      <c r="G92" s="116">
        <f t="shared" si="7"/>
        <v>1</v>
      </c>
      <c r="H92" s="116">
        <f t="shared" si="7"/>
        <v>21</v>
      </c>
      <c r="I92" s="116">
        <f t="shared" si="7"/>
        <v>20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97" t="s">
        <v>68</v>
      </c>
      <c r="B96" s="2481" t="s">
        <v>179</v>
      </c>
      <c r="C96" s="2482" t="s">
        <v>9</v>
      </c>
      <c r="D96" s="2411" t="s">
        <v>70</v>
      </c>
      <c r="E96" s="2412"/>
      <c r="F96" s="1756" t="s">
        <v>71</v>
      </c>
      <c r="G96" s="1822"/>
      <c r="H96" s="1822"/>
      <c r="I96" s="1822"/>
      <c r="J96" s="1822"/>
      <c r="K96" s="1822"/>
      <c r="L96" s="1822"/>
      <c r="M96" s="1823"/>
      <c r="N96" s="165"/>
      <c r="O96" s="165"/>
      <c r="P96" s="165"/>
    </row>
    <row r="97" spans="1:16" ht="100.5" customHeight="1">
      <c r="A97" s="2406"/>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399" t="s">
        <v>590</v>
      </c>
      <c r="B98" s="1899"/>
      <c r="C98" s="106">
        <v>2014</v>
      </c>
      <c r="D98" s="30"/>
      <c r="E98" s="31"/>
      <c r="F98" s="174"/>
      <c r="G98" s="175"/>
      <c r="H98" s="175"/>
      <c r="I98" s="175"/>
      <c r="J98" s="175"/>
      <c r="K98" s="175"/>
      <c r="L98" s="175"/>
      <c r="M98" s="176"/>
      <c r="N98" s="165"/>
      <c r="O98" s="165"/>
      <c r="P98" s="165"/>
    </row>
    <row r="99" spans="1:16" ht="16.5" customHeight="1">
      <c r="A99" s="2395"/>
      <c r="B99" s="1899"/>
      <c r="C99" s="110">
        <v>2015</v>
      </c>
      <c r="D99" s="90">
        <v>5</v>
      </c>
      <c r="E99" s="91">
        <v>2</v>
      </c>
      <c r="F99" s="177">
        <v>1</v>
      </c>
      <c r="G99" s="178"/>
      <c r="H99" s="178"/>
      <c r="I99" s="178">
        <v>1</v>
      </c>
      <c r="J99" s="178">
        <v>1</v>
      </c>
      <c r="K99" s="178"/>
      <c r="L99" s="178"/>
      <c r="M99" s="179">
        <v>2</v>
      </c>
      <c r="N99" s="165"/>
      <c r="O99" s="165"/>
      <c r="P99" s="165"/>
    </row>
    <row r="100" spans="1:16" ht="16.5" customHeight="1">
      <c r="A100" s="2395"/>
      <c r="B100" s="1899"/>
      <c r="C100" s="110">
        <v>2016</v>
      </c>
      <c r="D100" s="37">
        <v>4</v>
      </c>
      <c r="E100" s="38">
        <v>16</v>
      </c>
      <c r="F100" s="177">
        <v>1</v>
      </c>
      <c r="G100" s="178"/>
      <c r="H100" s="178"/>
      <c r="I100" s="178">
        <v>1</v>
      </c>
      <c r="J100" s="178">
        <v>1</v>
      </c>
      <c r="K100" s="178"/>
      <c r="L100" s="178"/>
      <c r="M100" s="179">
        <v>1</v>
      </c>
      <c r="N100" s="165"/>
      <c r="O100" s="165"/>
      <c r="P100" s="165"/>
    </row>
    <row r="101" spans="1:16" ht="16.5" customHeight="1">
      <c r="A101" s="2395"/>
      <c r="B101" s="1899"/>
      <c r="C101" s="110">
        <v>2017</v>
      </c>
      <c r="D101" s="37">
        <v>4</v>
      </c>
      <c r="E101" s="38">
        <v>14</v>
      </c>
      <c r="F101" s="177">
        <v>1</v>
      </c>
      <c r="G101" s="178"/>
      <c r="H101" s="178"/>
      <c r="I101" s="178"/>
      <c r="J101" s="178">
        <v>1</v>
      </c>
      <c r="K101" s="178"/>
      <c r="L101" s="178"/>
      <c r="M101" s="179">
        <v>1</v>
      </c>
      <c r="N101" s="165"/>
      <c r="O101" s="165"/>
      <c r="P101" s="165"/>
    </row>
    <row r="102" spans="1:16" ht="15.75" customHeight="1">
      <c r="A102" s="2395"/>
      <c r="B102" s="1899"/>
      <c r="C102" s="110">
        <v>2018</v>
      </c>
      <c r="D102" s="37"/>
      <c r="E102" s="38"/>
      <c r="F102" s="177"/>
      <c r="G102" s="178"/>
      <c r="H102" s="178"/>
      <c r="I102" s="178"/>
      <c r="J102" s="178"/>
      <c r="K102" s="178"/>
      <c r="L102" s="178"/>
      <c r="M102" s="179"/>
      <c r="N102" s="165"/>
      <c r="O102" s="165"/>
      <c r="P102" s="165"/>
    </row>
    <row r="103" spans="1:16" ht="14.25" customHeight="1">
      <c r="A103" s="2395"/>
      <c r="B103" s="1899"/>
      <c r="C103" s="110">
        <v>2019</v>
      </c>
      <c r="D103" s="37"/>
      <c r="E103" s="38"/>
      <c r="F103" s="177"/>
      <c r="G103" s="178"/>
      <c r="H103" s="178"/>
      <c r="I103" s="178"/>
      <c r="J103" s="178"/>
      <c r="K103" s="178"/>
      <c r="L103" s="178"/>
      <c r="M103" s="179"/>
      <c r="N103" s="165"/>
      <c r="O103" s="165"/>
      <c r="P103" s="165"/>
    </row>
    <row r="104" spans="1:16" ht="14.25" customHeight="1">
      <c r="A104" s="2395"/>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13</v>
      </c>
      <c r="E105" s="116">
        <f t="shared" ref="E105:K105" si="8">SUM(E98:E104)</f>
        <v>32</v>
      </c>
      <c r="F105" s="180">
        <f t="shared" si="8"/>
        <v>3</v>
      </c>
      <c r="G105" s="181">
        <f t="shared" si="8"/>
        <v>0</v>
      </c>
      <c r="H105" s="181">
        <f t="shared" si="8"/>
        <v>0</v>
      </c>
      <c r="I105" s="181">
        <f>SUM(I98:I104)</f>
        <v>2</v>
      </c>
      <c r="J105" s="181">
        <f t="shared" si="8"/>
        <v>3</v>
      </c>
      <c r="K105" s="181">
        <f t="shared" si="8"/>
        <v>0</v>
      </c>
      <c r="L105" s="181">
        <f>SUM(L98:L104)</f>
        <v>0</v>
      </c>
      <c r="M105" s="182">
        <f>SUM(M98:M104)</f>
        <v>4</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97" t="s">
        <v>77</v>
      </c>
      <c r="B107" s="2481" t="s">
        <v>179</v>
      </c>
      <c r="C107" s="2482" t="s">
        <v>9</v>
      </c>
      <c r="D107" s="2414" t="s">
        <v>78</v>
      </c>
      <c r="E107" s="1756" t="s">
        <v>79</v>
      </c>
      <c r="F107" s="1822"/>
      <c r="G107" s="1822"/>
      <c r="H107" s="1822"/>
      <c r="I107" s="1822"/>
      <c r="J107" s="1822"/>
      <c r="K107" s="1822"/>
      <c r="L107" s="1823"/>
      <c r="M107" s="185"/>
      <c r="N107" s="185"/>
    </row>
    <row r="108" spans="1:16" ht="103.5" customHeight="1">
      <c r="A108" s="2406"/>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498" t="s">
        <v>591</v>
      </c>
      <c r="B109" s="2092"/>
      <c r="C109" s="106">
        <v>2014</v>
      </c>
      <c r="D109" s="31"/>
      <c r="E109" s="174"/>
      <c r="F109" s="175"/>
      <c r="G109" s="175"/>
      <c r="H109" s="175"/>
      <c r="I109" s="175"/>
      <c r="J109" s="175"/>
      <c r="K109" s="175"/>
      <c r="L109" s="176"/>
      <c r="M109" s="185"/>
      <c r="N109" s="185"/>
    </row>
    <row r="110" spans="1:16">
      <c r="A110" s="2498"/>
      <c r="B110" s="2092"/>
      <c r="C110" s="110">
        <v>2015</v>
      </c>
      <c r="D110" s="38">
        <v>1</v>
      </c>
      <c r="E110" s="177"/>
      <c r="F110" s="178"/>
      <c r="G110" s="178"/>
      <c r="H110" s="178"/>
      <c r="I110" s="178"/>
      <c r="J110" s="178"/>
      <c r="K110" s="178"/>
      <c r="L110" s="179">
        <v>1</v>
      </c>
      <c r="M110" s="185"/>
      <c r="N110" s="185"/>
    </row>
    <row r="111" spans="1:16">
      <c r="A111" s="2498"/>
      <c r="B111" s="2092"/>
      <c r="C111" s="110">
        <v>2016</v>
      </c>
      <c r="D111" s="38">
        <v>1</v>
      </c>
      <c r="E111" s="177"/>
      <c r="F111" s="178"/>
      <c r="G111" s="178"/>
      <c r="H111" s="178"/>
      <c r="I111" s="178">
        <v>1</v>
      </c>
      <c r="J111" s="178"/>
      <c r="K111" s="178"/>
      <c r="L111" s="179"/>
      <c r="M111" s="185"/>
      <c r="N111" s="185"/>
    </row>
    <row r="112" spans="1:16">
      <c r="A112" s="2498"/>
      <c r="B112" s="2092"/>
      <c r="C112" s="110">
        <v>2017</v>
      </c>
      <c r="D112" s="38">
        <v>2</v>
      </c>
      <c r="E112" s="177"/>
      <c r="F112" s="178"/>
      <c r="G112" s="178"/>
      <c r="H112" s="178"/>
      <c r="I112" s="178">
        <v>1</v>
      </c>
      <c r="J112" s="178"/>
      <c r="K112" s="178"/>
      <c r="L112" s="179">
        <v>1</v>
      </c>
      <c r="M112" s="185"/>
      <c r="N112" s="185"/>
    </row>
    <row r="113" spans="1:14">
      <c r="A113" s="2498"/>
      <c r="B113" s="2092"/>
      <c r="C113" s="110">
        <v>2018</v>
      </c>
      <c r="D113" s="38"/>
      <c r="E113" s="177"/>
      <c r="F113" s="178"/>
      <c r="G113" s="178"/>
      <c r="H113" s="178"/>
      <c r="I113" s="178"/>
      <c r="J113" s="178"/>
      <c r="K113" s="178"/>
      <c r="L113" s="179"/>
      <c r="M113" s="185"/>
      <c r="N113" s="185"/>
    </row>
    <row r="114" spans="1:14">
      <c r="A114" s="2498"/>
      <c r="B114" s="2092"/>
      <c r="C114" s="110">
        <v>2019</v>
      </c>
      <c r="D114" s="38"/>
      <c r="E114" s="177"/>
      <c r="F114" s="178"/>
      <c r="G114" s="178"/>
      <c r="H114" s="178"/>
      <c r="I114" s="178"/>
      <c r="J114" s="178"/>
      <c r="K114" s="178"/>
      <c r="L114" s="179"/>
      <c r="M114" s="185"/>
      <c r="N114" s="185"/>
    </row>
    <row r="115" spans="1:14">
      <c r="A115" s="2498"/>
      <c r="B115" s="2092"/>
      <c r="C115" s="110">
        <v>2020</v>
      </c>
      <c r="D115" s="38"/>
      <c r="E115" s="177"/>
      <c r="F115" s="178"/>
      <c r="G115" s="178"/>
      <c r="H115" s="178"/>
      <c r="I115" s="178"/>
      <c r="J115" s="178"/>
      <c r="K115" s="178"/>
      <c r="L115" s="179"/>
      <c r="M115" s="185"/>
      <c r="N115" s="185"/>
    </row>
    <row r="116" spans="1:14" ht="25.5" customHeight="1" thickBot="1">
      <c r="A116" s="2499"/>
      <c r="B116" s="2093"/>
      <c r="C116" s="113" t="s">
        <v>13</v>
      </c>
      <c r="D116" s="116">
        <f t="shared" ref="D116:I116" si="9">SUM(D109:D115)</f>
        <v>4</v>
      </c>
      <c r="E116" s="180">
        <f t="shared" si="9"/>
        <v>0</v>
      </c>
      <c r="F116" s="181">
        <f t="shared" si="9"/>
        <v>0</v>
      </c>
      <c r="G116" s="181">
        <f t="shared" si="9"/>
        <v>0</v>
      </c>
      <c r="H116" s="181">
        <f t="shared" si="9"/>
        <v>0</v>
      </c>
      <c r="I116" s="181">
        <f t="shared" si="9"/>
        <v>2</v>
      </c>
      <c r="J116" s="181"/>
      <c r="K116" s="181">
        <f>SUM(K109:K115)</f>
        <v>0</v>
      </c>
      <c r="L116" s="182">
        <f>SUM(L109:L115)</f>
        <v>2</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97" t="s">
        <v>81</v>
      </c>
      <c r="B118" s="2481" t="s">
        <v>179</v>
      </c>
      <c r="C118" s="2482" t="s">
        <v>9</v>
      </c>
      <c r="D118" s="2414" t="s">
        <v>82</v>
      </c>
      <c r="E118" s="1756" t="s">
        <v>79</v>
      </c>
      <c r="F118" s="1822"/>
      <c r="G118" s="1822"/>
      <c r="H118" s="1822"/>
      <c r="I118" s="1822"/>
      <c r="J118" s="1822"/>
      <c r="K118" s="1822"/>
      <c r="L118" s="1823"/>
      <c r="M118" s="185"/>
      <c r="N118" s="185"/>
    </row>
    <row r="119" spans="1:14" ht="120.75" customHeight="1">
      <c r="A119" s="2406"/>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399" t="s">
        <v>592</v>
      </c>
      <c r="B120" s="1899"/>
      <c r="C120" s="106">
        <v>2014</v>
      </c>
      <c r="D120" s="31"/>
      <c r="E120" s="174"/>
      <c r="F120" s="175"/>
      <c r="G120" s="175"/>
      <c r="H120" s="175"/>
      <c r="I120" s="175"/>
      <c r="J120" s="175"/>
      <c r="K120" s="175"/>
      <c r="L120" s="176"/>
      <c r="M120" s="185"/>
      <c r="N120" s="185"/>
    </row>
    <row r="121" spans="1:14">
      <c r="A121" s="2395"/>
      <c r="B121" s="1899"/>
      <c r="C121" s="110">
        <v>2015</v>
      </c>
      <c r="D121" s="38"/>
      <c r="E121" s="177"/>
      <c r="F121" s="178"/>
      <c r="G121" s="178"/>
      <c r="H121" s="178"/>
      <c r="I121" s="178"/>
      <c r="J121" s="178"/>
      <c r="K121" s="178"/>
      <c r="L121" s="179"/>
      <c r="M121" s="185"/>
      <c r="N121" s="185"/>
    </row>
    <row r="122" spans="1:14">
      <c r="A122" s="2395"/>
      <c r="B122" s="1899"/>
      <c r="C122" s="110">
        <v>2016</v>
      </c>
      <c r="D122" s="38">
        <v>2</v>
      </c>
      <c r="E122" s="177">
        <v>1</v>
      </c>
      <c r="F122" s="178"/>
      <c r="G122" s="178"/>
      <c r="H122" s="178"/>
      <c r="I122" s="178">
        <v>1</v>
      </c>
      <c r="J122" s="178"/>
      <c r="K122" s="178"/>
      <c r="L122" s="179"/>
      <c r="M122" s="185"/>
      <c r="N122" s="185"/>
    </row>
    <row r="123" spans="1:14">
      <c r="A123" s="2395"/>
      <c r="B123" s="1899"/>
      <c r="C123" s="110">
        <v>2017</v>
      </c>
      <c r="D123" s="38">
        <v>1</v>
      </c>
      <c r="E123" s="177"/>
      <c r="F123" s="178"/>
      <c r="G123" s="178"/>
      <c r="H123" s="178"/>
      <c r="I123" s="178">
        <v>1</v>
      </c>
      <c r="J123" s="178"/>
      <c r="K123" s="178"/>
      <c r="L123" s="179"/>
      <c r="M123" s="185"/>
      <c r="N123" s="185"/>
    </row>
    <row r="124" spans="1:14">
      <c r="A124" s="2395"/>
      <c r="B124" s="1899"/>
      <c r="C124" s="110">
        <v>2018</v>
      </c>
      <c r="D124" s="38"/>
      <c r="E124" s="177"/>
      <c r="F124" s="178"/>
      <c r="G124" s="178"/>
      <c r="H124" s="178"/>
      <c r="I124" s="178"/>
      <c r="J124" s="178"/>
      <c r="K124" s="178"/>
      <c r="L124" s="179"/>
      <c r="M124" s="185"/>
      <c r="N124" s="185"/>
    </row>
    <row r="125" spans="1:14">
      <c r="A125" s="2395"/>
      <c r="B125" s="1899"/>
      <c r="C125" s="110">
        <v>2019</v>
      </c>
      <c r="D125" s="38"/>
      <c r="E125" s="177"/>
      <c r="F125" s="178"/>
      <c r="G125" s="178"/>
      <c r="H125" s="178"/>
      <c r="I125" s="178"/>
      <c r="J125" s="178"/>
      <c r="K125" s="178"/>
      <c r="L125" s="179"/>
      <c r="M125" s="185"/>
      <c r="N125" s="185"/>
    </row>
    <row r="126" spans="1:14">
      <c r="A126" s="2395"/>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3</v>
      </c>
      <c r="E127" s="180">
        <f t="shared" si="10"/>
        <v>1</v>
      </c>
      <c r="F127" s="181">
        <f t="shared" si="10"/>
        <v>0</v>
      </c>
      <c r="G127" s="181">
        <f t="shared" si="10"/>
        <v>0</v>
      </c>
      <c r="H127" s="181">
        <f t="shared" si="10"/>
        <v>0</v>
      </c>
      <c r="I127" s="181">
        <f t="shared" si="10"/>
        <v>2</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97" t="s">
        <v>84</v>
      </c>
      <c r="B129" s="2481" t="s">
        <v>179</v>
      </c>
      <c r="C129" s="1824" t="s">
        <v>9</v>
      </c>
      <c r="D129" s="1758" t="s">
        <v>85</v>
      </c>
      <c r="E129" s="1825"/>
      <c r="F129" s="1825"/>
      <c r="G129" s="1759"/>
      <c r="H129" s="185"/>
      <c r="I129" s="185"/>
      <c r="J129" s="185"/>
      <c r="K129" s="185"/>
      <c r="L129" s="185"/>
      <c r="M129" s="185"/>
      <c r="N129" s="185"/>
    </row>
    <row r="130" spans="1:16" ht="77.25" customHeight="1">
      <c r="A130" s="2406"/>
      <c r="B130" s="1912"/>
      <c r="C130" s="1807"/>
      <c r="D130" s="166" t="s">
        <v>86</v>
      </c>
      <c r="E130" s="193" t="s">
        <v>87</v>
      </c>
      <c r="F130" s="167" t="s">
        <v>88</v>
      </c>
      <c r="G130" s="194" t="s">
        <v>13</v>
      </c>
      <c r="H130" s="185"/>
      <c r="I130" s="185"/>
      <c r="J130" s="185"/>
      <c r="K130" s="185"/>
      <c r="L130" s="185"/>
      <c r="M130" s="185"/>
      <c r="N130" s="185"/>
    </row>
    <row r="131" spans="1:16" ht="15" customHeight="1">
      <c r="A131" s="2408"/>
      <c r="B131" s="1855"/>
      <c r="C131" s="106">
        <v>2015</v>
      </c>
      <c r="D131" s="30">
        <v>103</v>
      </c>
      <c r="E131" s="31">
        <v>284</v>
      </c>
      <c r="F131" s="31"/>
      <c r="G131" s="195">
        <f t="shared" ref="G131:G136" si="11">SUM(D131:F131)</f>
        <v>387</v>
      </c>
      <c r="H131" s="185"/>
      <c r="I131" s="185"/>
      <c r="J131" s="185"/>
      <c r="K131" s="185"/>
      <c r="L131" s="185"/>
      <c r="M131" s="185"/>
      <c r="N131" s="185"/>
    </row>
    <row r="132" spans="1:16">
      <c r="A132" s="2378"/>
      <c r="B132" s="1855"/>
      <c r="C132" s="110">
        <v>2016</v>
      </c>
      <c r="D132" s="37">
        <v>190</v>
      </c>
      <c r="E132" s="38">
        <v>7</v>
      </c>
      <c r="F132" s="38">
        <v>85</v>
      </c>
      <c r="G132" s="195">
        <f t="shared" si="11"/>
        <v>282</v>
      </c>
      <c r="H132" s="185"/>
      <c r="I132" s="185"/>
      <c r="J132" s="185"/>
      <c r="K132" s="185"/>
      <c r="L132" s="185"/>
      <c r="M132" s="185"/>
      <c r="N132" s="185"/>
    </row>
    <row r="133" spans="1:16">
      <c r="A133" s="2378"/>
      <c r="B133" s="1855"/>
      <c r="C133" s="110">
        <v>2017</v>
      </c>
      <c r="D133" s="37">
        <v>146</v>
      </c>
      <c r="E133" s="38">
        <v>51</v>
      </c>
      <c r="F133" s="38">
        <v>537</v>
      </c>
      <c r="G133" s="195">
        <f t="shared" si="11"/>
        <v>734</v>
      </c>
      <c r="H133" s="185"/>
      <c r="I133" s="185"/>
      <c r="J133" s="185"/>
      <c r="K133" s="185"/>
      <c r="L133" s="185"/>
      <c r="M133" s="185"/>
      <c r="N133" s="185"/>
    </row>
    <row r="134" spans="1:16">
      <c r="A134" s="2378"/>
      <c r="B134" s="1855"/>
      <c r="C134" s="110">
        <v>2018</v>
      </c>
      <c r="D134" s="37"/>
      <c r="E134" s="38"/>
      <c r="F134" s="38"/>
      <c r="G134" s="195">
        <f t="shared" si="11"/>
        <v>0</v>
      </c>
      <c r="H134" s="185"/>
      <c r="I134" s="185"/>
      <c r="J134" s="185"/>
      <c r="K134" s="185"/>
      <c r="L134" s="185"/>
      <c r="M134" s="185"/>
      <c r="N134" s="185"/>
    </row>
    <row r="135" spans="1:16">
      <c r="A135" s="2378"/>
      <c r="B135" s="1855"/>
      <c r="C135" s="110">
        <v>2019</v>
      </c>
      <c r="D135" s="37"/>
      <c r="E135" s="38"/>
      <c r="F135" s="38"/>
      <c r="G135" s="195">
        <f t="shared" si="11"/>
        <v>0</v>
      </c>
      <c r="H135" s="185"/>
      <c r="I135" s="185"/>
      <c r="J135" s="185"/>
      <c r="K135" s="185"/>
      <c r="L135" s="185"/>
      <c r="M135" s="185"/>
      <c r="N135" s="185"/>
    </row>
    <row r="136" spans="1:16">
      <c r="A136" s="2378"/>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439</v>
      </c>
      <c r="E137" s="139">
        <f t="shared" ref="E137:F137" si="12">SUM(E131:E136)</f>
        <v>342</v>
      </c>
      <c r="F137" s="139">
        <f t="shared" si="12"/>
        <v>622</v>
      </c>
      <c r="G137" s="196">
        <f>SUM(G131:G136)</f>
        <v>1403</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500" t="s">
        <v>91</v>
      </c>
      <c r="B142" s="2479" t="s">
        <v>179</v>
      </c>
      <c r="C142" s="2484" t="s">
        <v>9</v>
      </c>
      <c r="D142" s="1826" t="s">
        <v>92</v>
      </c>
      <c r="E142" s="1827"/>
      <c r="F142" s="1827"/>
      <c r="G142" s="1827"/>
      <c r="H142" s="1827"/>
      <c r="I142" s="1828"/>
      <c r="J142" s="2475" t="s">
        <v>93</v>
      </c>
      <c r="K142" s="2476"/>
      <c r="L142" s="2476"/>
      <c r="M142" s="2476"/>
      <c r="N142" s="2477"/>
      <c r="O142" s="165"/>
      <c r="P142" s="165"/>
    </row>
    <row r="143" spans="1:16" ht="113.25" customHeight="1">
      <c r="A143" s="2410"/>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399"/>
      <c r="B144" s="1899"/>
      <c r="C144" s="106">
        <v>2014</v>
      </c>
      <c r="D144" s="30"/>
      <c r="E144" s="30"/>
      <c r="F144" s="31"/>
      <c r="G144" s="175"/>
      <c r="H144" s="175"/>
      <c r="I144" s="213">
        <f>D144+F144+G144+H144</f>
        <v>0</v>
      </c>
      <c r="J144" s="214"/>
      <c r="K144" s="215"/>
      <c r="L144" s="214"/>
      <c r="M144" s="215"/>
      <c r="N144" s="216"/>
      <c r="O144" s="165"/>
      <c r="P144" s="165"/>
    </row>
    <row r="145" spans="1:16" ht="19.5" customHeight="1">
      <c r="A145" s="2395"/>
      <c r="B145" s="1899"/>
      <c r="C145" s="110">
        <v>2015</v>
      </c>
      <c r="D145" s="37">
        <v>1</v>
      </c>
      <c r="E145" s="37"/>
      <c r="F145" s="38"/>
      <c r="G145" s="178"/>
      <c r="H145" s="178"/>
      <c r="I145" s="213">
        <f t="shared" ref="I145:I150" si="13">D145+F145+G145+H145</f>
        <v>1</v>
      </c>
      <c r="J145" s="217">
        <v>1</v>
      </c>
      <c r="K145" s="218"/>
      <c r="L145" s="217"/>
      <c r="M145" s="218"/>
      <c r="N145" s="219"/>
      <c r="O145" s="165"/>
      <c r="P145" s="165"/>
    </row>
    <row r="146" spans="1:16" ht="20.25" customHeight="1">
      <c r="A146" s="2395"/>
      <c r="B146" s="1899"/>
      <c r="C146" s="110">
        <v>2016</v>
      </c>
      <c r="D146" s="37">
        <v>4</v>
      </c>
      <c r="E146" s="37">
        <v>7</v>
      </c>
      <c r="F146" s="38">
        <v>4</v>
      </c>
      <c r="G146" s="178">
        <v>8</v>
      </c>
      <c r="H146" s="178"/>
      <c r="I146" s="213">
        <f t="shared" si="13"/>
        <v>16</v>
      </c>
      <c r="J146" s="217">
        <v>12</v>
      </c>
      <c r="K146" s="218">
        <v>3</v>
      </c>
      <c r="L146" s="217">
        <v>1</v>
      </c>
      <c r="M146" s="218"/>
      <c r="N146" s="219"/>
      <c r="O146" s="165"/>
      <c r="P146" s="165"/>
    </row>
    <row r="147" spans="1:16" ht="17.25" customHeight="1">
      <c r="A147" s="2395"/>
      <c r="B147" s="1899"/>
      <c r="C147" s="110">
        <v>2017</v>
      </c>
      <c r="D147" s="37">
        <v>3</v>
      </c>
      <c r="E147" s="37">
        <v>5</v>
      </c>
      <c r="F147" s="38">
        <v>3</v>
      </c>
      <c r="G147" s="178">
        <v>5</v>
      </c>
      <c r="H147" s="178"/>
      <c r="I147" s="213">
        <f t="shared" si="13"/>
        <v>11</v>
      </c>
      <c r="J147" s="217">
        <v>10</v>
      </c>
      <c r="K147" s="218">
        <v>3</v>
      </c>
      <c r="L147" s="217">
        <v>1</v>
      </c>
      <c r="M147" s="218">
        <v>1</v>
      </c>
      <c r="N147" s="219"/>
      <c r="O147" s="165"/>
      <c r="P147" s="165"/>
    </row>
    <row r="148" spans="1:16" ht="19.5" customHeight="1">
      <c r="A148" s="2395"/>
      <c r="B148" s="1899"/>
      <c r="C148" s="110">
        <v>2018</v>
      </c>
      <c r="D148" s="37"/>
      <c r="E148" s="37"/>
      <c r="F148" s="38"/>
      <c r="G148" s="178"/>
      <c r="H148" s="178"/>
      <c r="I148" s="213">
        <f t="shared" si="13"/>
        <v>0</v>
      </c>
      <c r="J148" s="217"/>
      <c r="K148" s="218"/>
      <c r="L148" s="217"/>
      <c r="M148" s="218"/>
      <c r="N148" s="219"/>
      <c r="O148" s="165"/>
      <c r="P148" s="165"/>
    </row>
    <row r="149" spans="1:16" ht="19.5" customHeight="1">
      <c r="A149" s="2395"/>
      <c r="B149" s="1899"/>
      <c r="C149" s="110">
        <v>2019</v>
      </c>
      <c r="D149" s="37"/>
      <c r="E149" s="37"/>
      <c r="F149" s="38"/>
      <c r="G149" s="178"/>
      <c r="H149" s="178"/>
      <c r="I149" s="213">
        <f t="shared" si="13"/>
        <v>0</v>
      </c>
      <c r="J149" s="217"/>
      <c r="K149" s="218"/>
      <c r="L149" s="217"/>
      <c r="M149" s="218"/>
      <c r="N149" s="219"/>
      <c r="O149" s="165"/>
      <c r="P149" s="165"/>
    </row>
    <row r="150" spans="1:16" ht="18.75" customHeight="1">
      <c r="A150" s="2395"/>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8</v>
      </c>
      <c r="E151" s="139">
        <f t="shared" ref="E151:I151" si="14">SUM(E144:E150)</f>
        <v>12</v>
      </c>
      <c r="F151" s="139">
        <f t="shared" si="14"/>
        <v>7</v>
      </c>
      <c r="G151" s="139">
        <f t="shared" si="14"/>
        <v>13</v>
      </c>
      <c r="H151" s="139">
        <f t="shared" si="14"/>
        <v>0</v>
      </c>
      <c r="I151" s="220">
        <f t="shared" si="14"/>
        <v>28</v>
      </c>
      <c r="J151" s="221">
        <f>SUM(J144:J150)</f>
        <v>23</v>
      </c>
      <c r="K151" s="222">
        <f>SUM(K144:K150)</f>
        <v>6</v>
      </c>
      <c r="L151" s="221">
        <f>SUM(L144:L150)</f>
        <v>2</v>
      </c>
      <c r="M151" s="222">
        <f>SUM(M144:M150)</f>
        <v>1</v>
      </c>
      <c r="N151" s="223">
        <f>SUM(N144:N150)</f>
        <v>0</v>
      </c>
      <c r="O151" s="165"/>
      <c r="P151" s="165"/>
    </row>
    <row r="152" spans="1:16" ht="27" customHeight="1" thickBot="1">
      <c r="B152" s="224"/>
      <c r="O152" s="165"/>
      <c r="P152" s="165"/>
    </row>
    <row r="153" spans="1:16" ht="35.25" customHeight="1">
      <c r="A153" s="2501" t="s">
        <v>105</v>
      </c>
      <c r="B153" s="2479" t="s">
        <v>179</v>
      </c>
      <c r="C153" s="2480" t="s">
        <v>9</v>
      </c>
      <c r="D153" s="1829" t="s">
        <v>106</v>
      </c>
      <c r="E153" s="1829"/>
      <c r="F153" s="1830"/>
      <c r="G153" s="1830"/>
      <c r="H153" s="1829" t="s">
        <v>107</v>
      </c>
      <c r="I153" s="1829"/>
      <c r="J153" s="1831"/>
      <c r="K153" s="56"/>
      <c r="L153" s="56"/>
      <c r="M153" s="56"/>
      <c r="N153" s="56"/>
      <c r="O153" s="165"/>
      <c r="P153" s="165"/>
    </row>
    <row r="154" spans="1:16" ht="49.5" customHeight="1">
      <c r="A154" s="2401"/>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399" t="s">
        <v>593</v>
      </c>
      <c r="B155" s="1899"/>
      <c r="C155" s="233">
        <v>2014</v>
      </c>
      <c r="D155" s="214"/>
      <c r="E155" s="175"/>
      <c r="F155" s="215"/>
      <c r="G155" s="213">
        <f>SUM(D155:F155)</f>
        <v>0</v>
      </c>
      <c r="H155" s="214"/>
      <c r="I155" s="175"/>
      <c r="J155" s="176"/>
      <c r="O155" s="165"/>
      <c r="P155" s="165"/>
    </row>
    <row r="156" spans="1:16" ht="19.5" customHeight="1">
      <c r="A156" s="2395"/>
      <c r="B156" s="1899"/>
      <c r="C156" s="234">
        <v>2015</v>
      </c>
      <c r="D156" s="217"/>
      <c r="E156" s="178"/>
      <c r="F156" s="218"/>
      <c r="G156" s="213">
        <f t="shared" ref="G156:G161" si="15">SUM(D156:F156)</f>
        <v>0</v>
      </c>
      <c r="H156" s="217"/>
      <c r="I156" s="178"/>
      <c r="J156" s="179"/>
      <c r="O156" s="165"/>
      <c r="P156" s="165"/>
    </row>
    <row r="157" spans="1:16" ht="17.25" customHeight="1">
      <c r="A157" s="2395"/>
      <c r="B157" s="1899"/>
      <c r="C157" s="234">
        <v>2016</v>
      </c>
      <c r="D157" s="217">
        <v>2</v>
      </c>
      <c r="E157" s="178"/>
      <c r="F157" s="218"/>
      <c r="G157" s="213">
        <f t="shared" si="15"/>
        <v>2</v>
      </c>
      <c r="H157" s="217">
        <v>2</v>
      </c>
      <c r="I157" s="178"/>
      <c r="J157" s="179"/>
      <c r="O157" s="165"/>
      <c r="P157" s="165"/>
    </row>
    <row r="158" spans="1:16" ht="15" customHeight="1">
      <c r="A158" s="2395"/>
      <c r="B158" s="1899"/>
      <c r="C158" s="234">
        <v>2017</v>
      </c>
      <c r="D158" s="217">
        <v>1</v>
      </c>
      <c r="E158" s="178">
        <v>10</v>
      </c>
      <c r="F158" s="218">
        <v>6</v>
      </c>
      <c r="G158" s="213">
        <f t="shared" si="15"/>
        <v>17</v>
      </c>
      <c r="H158" s="217">
        <v>16</v>
      </c>
      <c r="I158" s="178">
        <v>1</v>
      </c>
      <c r="J158" s="179"/>
      <c r="O158" s="165"/>
      <c r="P158" s="165"/>
    </row>
    <row r="159" spans="1:16" ht="19.5" customHeight="1">
      <c r="A159" s="2395"/>
      <c r="B159" s="1899"/>
      <c r="C159" s="234">
        <v>2018</v>
      </c>
      <c r="D159" s="217"/>
      <c r="E159" s="178"/>
      <c r="F159" s="218"/>
      <c r="G159" s="213">
        <f t="shared" si="15"/>
        <v>0</v>
      </c>
      <c r="H159" s="217"/>
      <c r="I159" s="178"/>
      <c r="J159" s="179"/>
      <c r="O159" s="165"/>
      <c r="P159" s="165"/>
    </row>
    <row r="160" spans="1:16" ht="15" customHeight="1">
      <c r="A160" s="2395"/>
      <c r="B160" s="1899"/>
      <c r="C160" s="234">
        <v>2019</v>
      </c>
      <c r="D160" s="217"/>
      <c r="E160" s="178"/>
      <c r="F160" s="218"/>
      <c r="G160" s="213">
        <f t="shared" si="15"/>
        <v>0</v>
      </c>
      <c r="H160" s="217"/>
      <c r="I160" s="178"/>
      <c r="J160" s="179"/>
      <c r="O160" s="165"/>
      <c r="P160" s="165"/>
    </row>
    <row r="161" spans="1:18" ht="17.25" customHeight="1">
      <c r="A161" s="2395"/>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3</v>
      </c>
      <c r="E162" s="181">
        <f t="shared" si="16"/>
        <v>10</v>
      </c>
      <c r="F162" s="222">
        <f t="shared" si="16"/>
        <v>6</v>
      </c>
      <c r="G162" s="222">
        <f t="shared" si="16"/>
        <v>19</v>
      </c>
      <c r="H162" s="221">
        <f>SUM(H155:H161)</f>
        <v>18</v>
      </c>
      <c r="I162" s="181">
        <f>SUM(I155:I161)</f>
        <v>1</v>
      </c>
      <c r="J162" s="236">
        <f>SUM(J155:J161)</f>
        <v>0</v>
      </c>
    </row>
    <row r="163" spans="1:18" ht="24.75" customHeight="1" thickBot="1">
      <c r="A163" s="237"/>
      <c r="B163" s="238"/>
      <c r="C163" s="239"/>
      <c r="D163" s="165"/>
      <c r="E163" s="1832"/>
      <c r="F163" s="165"/>
      <c r="G163" s="165"/>
      <c r="H163" s="165"/>
      <c r="I163" s="165"/>
      <c r="J163" s="241"/>
      <c r="K163" s="242"/>
    </row>
    <row r="164" spans="1:18" ht="95.25" customHeight="1">
      <c r="A164" s="1760" t="s">
        <v>115</v>
      </c>
      <c r="B164" s="405" t="s">
        <v>181</v>
      </c>
      <c r="C164" s="1567" t="s">
        <v>9</v>
      </c>
      <c r="D164" s="246" t="s">
        <v>117</v>
      </c>
      <c r="E164" s="246" t="s">
        <v>118</v>
      </c>
      <c r="F164" s="1833" t="s">
        <v>119</v>
      </c>
      <c r="G164" s="246" t="s">
        <v>120</v>
      </c>
      <c r="H164" s="246" t="s">
        <v>121</v>
      </c>
      <c r="I164" s="248" t="s">
        <v>122</v>
      </c>
      <c r="J164" s="1761" t="s">
        <v>123</v>
      </c>
      <c r="K164" s="1761" t="s">
        <v>124</v>
      </c>
      <c r="L164" s="1721"/>
    </row>
    <row r="165" spans="1:18" ht="15.75" customHeight="1">
      <c r="A165" s="2081" t="s">
        <v>594</v>
      </c>
      <c r="B165" s="1977"/>
      <c r="C165" s="251">
        <v>2014</v>
      </c>
      <c r="D165" s="175"/>
      <c r="E165" s="175"/>
      <c r="F165" s="175"/>
      <c r="G165" s="175"/>
      <c r="H165" s="175"/>
      <c r="I165" s="176"/>
      <c r="J165" s="1683">
        <f>SUM(D165,F165,H165)</f>
        <v>0</v>
      </c>
      <c r="K165" s="253">
        <f>SUM(E165,G165,I165)</f>
        <v>0</v>
      </c>
      <c r="L165" s="1721"/>
    </row>
    <row r="166" spans="1:18">
      <c r="A166" s="2082"/>
      <c r="B166" s="1855"/>
      <c r="C166" s="254">
        <v>2015</v>
      </c>
      <c r="D166" s="255"/>
      <c r="E166" s="255"/>
      <c r="F166" s="255"/>
      <c r="G166" s="255"/>
      <c r="H166" s="255"/>
      <c r="I166" s="256"/>
      <c r="J166" s="1684">
        <f t="shared" ref="J166:K171" si="17">SUM(D166,F166,H166)</f>
        <v>0</v>
      </c>
      <c r="K166" s="408">
        <f t="shared" si="17"/>
        <v>0</v>
      </c>
      <c r="L166" s="1721"/>
    </row>
    <row r="167" spans="1:18">
      <c r="A167" s="2082"/>
      <c r="B167" s="1855"/>
      <c r="C167" s="254">
        <v>2016</v>
      </c>
      <c r="D167" s="255">
        <v>13</v>
      </c>
      <c r="E167" s="255">
        <v>15</v>
      </c>
      <c r="F167" s="255">
        <v>1</v>
      </c>
      <c r="G167" s="255">
        <v>3</v>
      </c>
      <c r="H167" s="255">
        <v>6</v>
      </c>
      <c r="I167" s="256">
        <v>5</v>
      </c>
      <c r="J167" s="1684">
        <f t="shared" si="17"/>
        <v>20</v>
      </c>
      <c r="K167" s="408">
        <f t="shared" si="17"/>
        <v>23</v>
      </c>
    </row>
    <row r="168" spans="1:18">
      <c r="A168" s="2082"/>
      <c r="B168" s="1855"/>
      <c r="C168" s="254">
        <v>2017</v>
      </c>
      <c r="D168" s="255">
        <v>9</v>
      </c>
      <c r="E168" s="165">
        <v>25</v>
      </c>
      <c r="F168" s="255"/>
      <c r="G168" s="255">
        <v>2</v>
      </c>
      <c r="H168" s="255"/>
      <c r="I168" s="256">
        <v>5</v>
      </c>
      <c r="J168" s="1684">
        <f t="shared" si="17"/>
        <v>9</v>
      </c>
      <c r="K168" s="408">
        <f t="shared" si="17"/>
        <v>32</v>
      </c>
    </row>
    <row r="169" spans="1:18">
      <c r="A169" s="2082"/>
      <c r="B169" s="1855"/>
      <c r="C169" s="262">
        <v>2018</v>
      </c>
      <c r="D169" s="255"/>
      <c r="E169" s="255"/>
      <c r="F169" s="255"/>
      <c r="G169" s="263"/>
      <c r="H169" s="255"/>
      <c r="I169" s="256"/>
      <c r="J169" s="1684">
        <f t="shared" si="17"/>
        <v>0</v>
      </c>
      <c r="K169" s="408">
        <f t="shared" si="17"/>
        <v>0</v>
      </c>
      <c r="L169" s="1721"/>
    </row>
    <row r="170" spans="1:18">
      <c r="A170" s="2082"/>
      <c r="B170" s="1855"/>
      <c r="C170" s="254">
        <v>2019</v>
      </c>
      <c r="D170" s="165"/>
      <c r="E170" s="255"/>
      <c r="F170" s="255"/>
      <c r="G170" s="255"/>
      <c r="H170" s="263"/>
      <c r="I170" s="256"/>
      <c r="J170" s="1684">
        <f t="shared" si="17"/>
        <v>0</v>
      </c>
      <c r="K170" s="408">
        <f t="shared" si="17"/>
        <v>0</v>
      </c>
      <c r="L170" s="1721"/>
    </row>
    <row r="171" spans="1:18">
      <c r="A171" s="2082"/>
      <c r="B171" s="1855"/>
      <c r="C171" s="262">
        <v>2020</v>
      </c>
      <c r="D171" s="255"/>
      <c r="E171" s="255"/>
      <c r="F171" s="255"/>
      <c r="G171" s="255"/>
      <c r="H171" s="255"/>
      <c r="I171" s="256"/>
      <c r="J171" s="1684">
        <f t="shared" si="17"/>
        <v>0</v>
      </c>
      <c r="K171" s="408">
        <f t="shared" si="17"/>
        <v>0</v>
      </c>
      <c r="L171" s="1721"/>
    </row>
    <row r="172" spans="1:18" ht="41.25" customHeight="1" thickBot="1">
      <c r="A172" s="2083"/>
      <c r="B172" s="1857"/>
      <c r="C172" s="265" t="s">
        <v>13</v>
      </c>
      <c r="D172" s="181">
        <f>SUM(D165:D171)</f>
        <v>22</v>
      </c>
      <c r="E172" s="181">
        <f t="shared" ref="E172:K172" si="18">SUM(E165:E171)</f>
        <v>40</v>
      </c>
      <c r="F172" s="181">
        <f t="shared" si="18"/>
        <v>1</v>
      </c>
      <c r="G172" s="181">
        <f t="shared" si="18"/>
        <v>5</v>
      </c>
      <c r="H172" s="181">
        <f t="shared" si="18"/>
        <v>6</v>
      </c>
      <c r="I172" s="409">
        <f t="shared" si="18"/>
        <v>10</v>
      </c>
      <c r="J172" s="410">
        <f t="shared" si="18"/>
        <v>29</v>
      </c>
      <c r="K172" s="221">
        <f t="shared" si="18"/>
        <v>55</v>
      </c>
      <c r="L172" s="172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503" t="s">
        <v>127</v>
      </c>
      <c r="B176" s="2466" t="s">
        <v>182</v>
      </c>
      <c r="C176" s="2470" t="s">
        <v>9</v>
      </c>
      <c r="D176" s="1762" t="s">
        <v>128</v>
      </c>
      <c r="E176" s="1834"/>
      <c r="F176" s="1834"/>
      <c r="G176" s="1835"/>
      <c r="H176" s="1763"/>
      <c r="I176" s="2392" t="s">
        <v>129</v>
      </c>
      <c r="J176" s="2464"/>
      <c r="K176" s="2464"/>
      <c r="L176" s="2464"/>
      <c r="M176" s="2464"/>
      <c r="N176" s="2464"/>
      <c r="O176" s="2465"/>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395"/>
      <c r="B178" s="1899"/>
      <c r="C178" s="106">
        <v>2014</v>
      </c>
      <c r="D178" s="30"/>
      <c r="E178" s="31"/>
      <c r="F178" s="31"/>
      <c r="G178" s="284">
        <f>SUM(D178:F178)</f>
        <v>0</v>
      </c>
      <c r="H178" s="155"/>
      <c r="I178" s="155"/>
      <c r="J178" s="31"/>
      <c r="K178" s="31"/>
      <c r="L178" s="31"/>
      <c r="M178" s="31"/>
      <c r="N178" s="31"/>
      <c r="O178" s="34"/>
    </row>
    <row r="179" spans="1:15">
      <c r="A179" s="2395"/>
      <c r="B179" s="1899"/>
      <c r="C179" s="110">
        <v>2015</v>
      </c>
      <c r="D179" s="37">
        <v>7</v>
      </c>
      <c r="E179" s="38">
        <v>6</v>
      </c>
      <c r="F179" s="38">
        <v>1</v>
      </c>
      <c r="G179" s="284">
        <f t="shared" ref="G179:G184" si="19">SUM(D179:F179)</f>
        <v>14</v>
      </c>
      <c r="H179" s="411">
        <v>20</v>
      </c>
      <c r="I179" s="112"/>
      <c r="J179" s="38">
        <v>2</v>
      </c>
      <c r="K179" s="38"/>
      <c r="L179" s="38"/>
      <c r="M179" s="38"/>
      <c r="N179" s="38"/>
      <c r="O179" s="88">
        <v>12</v>
      </c>
    </row>
    <row r="180" spans="1:15">
      <c r="A180" s="2395"/>
      <c r="B180" s="1899"/>
      <c r="C180" s="110">
        <v>2016</v>
      </c>
      <c r="D180" s="37">
        <v>1</v>
      </c>
      <c r="E180" s="38"/>
      <c r="F180" s="38"/>
      <c r="G180" s="284">
        <f t="shared" si="19"/>
        <v>1</v>
      </c>
      <c r="H180" s="411">
        <v>1</v>
      </c>
      <c r="I180" s="112"/>
      <c r="J180" s="38"/>
      <c r="K180" s="38"/>
      <c r="L180" s="38"/>
      <c r="M180" s="38"/>
      <c r="N180" s="38"/>
      <c r="O180" s="88">
        <v>1</v>
      </c>
    </row>
    <row r="181" spans="1:15">
      <c r="A181" s="2395"/>
      <c r="B181" s="1899"/>
      <c r="C181" s="110">
        <v>2017</v>
      </c>
      <c r="D181" s="37"/>
      <c r="E181" s="38"/>
      <c r="F181" s="38"/>
      <c r="G181" s="284">
        <f t="shared" si="19"/>
        <v>0</v>
      </c>
      <c r="H181" s="411"/>
      <c r="I181" s="112"/>
      <c r="J181" s="38"/>
      <c r="K181" s="38"/>
      <c r="L181" s="38"/>
      <c r="M181" s="38"/>
      <c r="N181" s="38"/>
      <c r="O181" s="88"/>
    </row>
    <row r="182" spans="1:15">
      <c r="A182" s="2395"/>
      <c r="B182" s="1899"/>
      <c r="C182" s="110">
        <v>2018</v>
      </c>
      <c r="D182" s="37"/>
      <c r="E182" s="38"/>
      <c r="F182" s="38"/>
      <c r="G182" s="284">
        <f t="shared" si="19"/>
        <v>0</v>
      </c>
      <c r="H182" s="411"/>
      <c r="I182" s="112"/>
      <c r="J182" s="38"/>
      <c r="K182" s="38"/>
      <c r="L182" s="38"/>
      <c r="M182" s="38"/>
      <c r="N182" s="38"/>
      <c r="O182" s="88"/>
    </row>
    <row r="183" spans="1:15">
      <c r="A183" s="2395"/>
      <c r="B183" s="1899"/>
      <c r="C183" s="110">
        <v>2019</v>
      </c>
      <c r="D183" s="37"/>
      <c r="E183" s="38"/>
      <c r="F183" s="38"/>
      <c r="G183" s="284">
        <f t="shared" si="19"/>
        <v>0</v>
      </c>
      <c r="H183" s="411"/>
      <c r="I183" s="112"/>
      <c r="J183" s="38"/>
      <c r="K183" s="38"/>
      <c r="L183" s="38"/>
      <c r="M183" s="38"/>
      <c r="N183" s="38"/>
      <c r="O183" s="88"/>
    </row>
    <row r="184" spans="1:15">
      <c r="A184" s="2395"/>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8</v>
      </c>
      <c r="E185" s="116">
        <f>SUM(E178:E184)</f>
        <v>6</v>
      </c>
      <c r="F185" s="116">
        <f>SUM(F178:F184)</f>
        <v>1</v>
      </c>
      <c r="G185" s="220">
        <f t="shared" ref="G185:O185" si="20">SUM(G178:G184)</f>
        <v>15</v>
      </c>
      <c r="H185" s="285">
        <f t="shared" si="20"/>
        <v>21</v>
      </c>
      <c r="I185" s="115">
        <f t="shared" si="20"/>
        <v>0</v>
      </c>
      <c r="J185" s="116">
        <f t="shared" si="20"/>
        <v>2</v>
      </c>
      <c r="K185" s="116">
        <f t="shared" si="20"/>
        <v>0</v>
      </c>
      <c r="L185" s="116">
        <f t="shared" si="20"/>
        <v>0</v>
      </c>
      <c r="M185" s="116">
        <f t="shared" si="20"/>
        <v>0</v>
      </c>
      <c r="N185" s="116">
        <f t="shared" si="20"/>
        <v>0</v>
      </c>
      <c r="O185" s="117">
        <f t="shared" si="20"/>
        <v>13</v>
      </c>
    </row>
    <row r="186" spans="1:15" ht="33" customHeight="1" thickBot="1"/>
    <row r="187" spans="1:15" ht="19.5" customHeight="1">
      <c r="A187" s="2379" t="s">
        <v>137</v>
      </c>
      <c r="B187" s="2466" t="s">
        <v>182</v>
      </c>
      <c r="C187" s="1865" t="s">
        <v>9</v>
      </c>
      <c r="D187" s="1867" t="s">
        <v>138</v>
      </c>
      <c r="E187" s="2467"/>
      <c r="F187" s="2467"/>
      <c r="G187" s="2382"/>
      <c r="H187" s="2383"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c r="B189" s="1977"/>
      <c r="C189" s="290">
        <v>2014</v>
      </c>
      <c r="D189" s="133"/>
      <c r="E189" s="109"/>
      <c r="F189" s="109"/>
      <c r="G189" s="291">
        <f>SUM(D189:F189)</f>
        <v>0</v>
      </c>
      <c r="H189" s="108"/>
      <c r="I189" s="109"/>
      <c r="J189" s="109"/>
      <c r="K189" s="109"/>
      <c r="L189" s="134"/>
    </row>
    <row r="190" spans="1:15">
      <c r="A190" s="2502"/>
      <c r="B190" s="1855"/>
      <c r="C190" s="73">
        <v>2015</v>
      </c>
      <c r="D190" s="37">
        <v>851</v>
      </c>
      <c r="E190" s="38">
        <v>635</v>
      </c>
      <c r="F190" s="38">
        <v>192</v>
      </c>
      <c r="G190" s="291">
        <f t="shared" ref="G190:G195" si="21">SUM(D190:F190)</f>
        <v>1678</v>
      </c>
      <c r="H190" s="112"/>
      <c r="I190" s="38">
        <v>11</v>
      </c>
      <c r="J190" s="38">
        <v>75</v>
      </c>
      <c r="K190" s="38">
        <v>947</v>
      </c>
      <c r="L190" s="88">
        <v>645</v>
      </c>
    </row>
    <row r="191" spans="1:15">
      <c r="A191" s="2502"/>
      <c r="B191" s="1855"/>
      <c r="C191" s="73">
        <v>2016</v>
      </c>
      <c r="D191" s="37">
        <v>2</v>
      </c>
      <c r="E191" s="38"/>
      <c r="F191" s="38"/>
      <c r="G191" s="291">
        <f t="shared" si="21"/>
        <v>2</v>
      </c>
      <c r="H191" s="112">
        <v>2</v>
      </c>
      <c r="I191" s="38"/>
      <c r="J191" s="38"/>
      <c r="K191" s="38"/>
      <c r="L191" s="88"/>
    </row>
    <row r="192" spans="1:15">
      <c r="A192" s="2502"/>
      <c r="B192" s="1855"/>
      <c r="C192" s="73">
        <v>2017</v>
      </c>
      <c r="D192" s="37"/>
      <c r="E192" s="38"/>
      <c r="F192" s="38"/>
      <c r="G192" s="291">
        <f t="shared" si="21"/>
        <v>0</v>
      </c>
      <c r="H192" s="112"/>
      <c r="I192" s="38"/>
      <c r="J192" s="38"/>
      <c r="K192" s="38"/>
      <c r="L192" s="88"/>
    </row>
    <row r="193" spans="1:14">
      <c r="A193" s="2502"/>
      <c r="B193" s="1855"/>
      <c r="C193" s="73">
        <v>2018</v>
      </c>
      <c r="D193" s="37"/>
      <c r="E193" s="38"/>
      <c r="F193" s="38"/>
      <c r="G193" s="291">
        <f t="shared" si="21"/>
        <v>0</v>
      </c>
      <c r="H193" s="112"/>
      <c r="I193" s="38"/>
      <c r="J193" s="38"/>
      <c r="K193" s="38"/>
      <c r="L193" s="88"/>
    </row>
    <row r="194" spans="1:14">
      <c r="A194" s="2502"/>
      <c r="B194" s="1855"/>
      <c r="C194" s="73">
        <v>2019</v>
      </c>
      <c r="D194" s="37"/>
      <c r="E194" s="38"/>
      <c r="F194" s="38"/>
      <c r="G194" s="291">
        <f t="shared" si="21"/>
        <v>0</v>
      </c>
      <c r="H194" s="112"/>
      <c r="I194" s="38"/>
      <c r="J194" s="38"/>
      <c r="K194" s="38"/>
      <c r="L194" s="88"/>
    </row>
    <row r="195" spans="1:14">
      <c r="A195" s="2502"/>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853</v>
      </c>
      <c r="E196" s="116">
        <f t="shared" si="22"/>
        <v>635</v>
      </c>
      <c r="F196" s="116">
        <f t="shared" si="22"/>
        <v>192</v>
      </c>
      <c r="G196" s="292">
        <f t="shared" si="22"/>
        <v>1680</v>
      </c>
      <c r="H196" s="115">
        <f t="shared" si="22"/>
        <v>2</v>
      </c>
      <c r="I196" s="116">
        <f t="shared" si="22"/>
        <v>11</v>
      </c>
      <c r="J196" s="116">
        <f t="shared" si="22"/>
        <v>75</v>
      </c>
      <c r="K196" s="116">
        <f t="shared" si="22"/>
        <v>947</v>
      </c>
      <c r="L196" s="117">
        <f t="shared" si="22"/>
        <v>645</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842" t="s">
        <v>150</v>
      </c>
      <c r="B201" s="417" t="s">
        <v>182</v>
      </c>
      <c r="C201" s="298" t="s">
        <v>9</v>
      </c>
      <c r="D201" s="1764" t="s">
        <v>151</v>
      </c>
      <c r="E201" s="300" t="s">
        <v>152</v>
      </c>
      <c r="F201" s="300" t="s">
        <v>153</v>
      </c>
      <c r="G201" s="298" t="s">
        <v>154</v>
      </c>
      <c r="H201" s="1836" t="s">
        <v>155</v>
      </c>
      <c r="I201" s="1765" t="s">
        <v>156</v>
      </c>
      <c r="J201" s="1766" t="s">
        <v>157</v>
      </c>
      <c r="K201" s="300" t="s">
        <v>158</v>
      </c>
      <c r="L201" s="304" t="s">
        <v>159</v>
      </c>
    </row>
    <row r="202" spans="1:14" ht="15" customHeight="1">
      <c r="A202" s="2378" t="s">
        <v>595</v>
      </c>
      <c r="B202" s="1855"/>
      <c r="C202" s="72">
        <v>2014</v>
      </c>
      <c r="D202" s="30"/>
      <c r="E202" s="31"/>
      <c r="F202" s="31"/>
      <c r="G202" s="29"/>
      <c r="H202" s="305"/>
      <c r="I202" s="306"/>
      <c r="J202" s="307"/>
      <c r="K202" s="31"/>
      <c r="L202" s="34"/>
    </row>
    <row r="203" spans="1:14">
      <c r="A203" s="2378"/>
      <c r="B203" s="1855"/>
      <c r="C203" s="73">
        <v>2015</v>
      </c>
      <c r="D203" s="37"/>
      <c r="E203" s="38"/>
      <c r="F203" s="38"/>
      <c r="G203" s="36"/>
      <c r="H203" s="308"/>
      <c r="I203" s="309"/>
      <c r="J203" s="310"/>
      <c r="K203" s="38"/>
      <c r="L203" s="88"/>
    </row>
    <row r="204" spans="1:14">
      <c r="A204" s="2378"/>
      <c r="B204" s="1855"/>
      <c r="C204" s="73">
        <v>2016</v>
      </c>
      <c r="D204" s="37">
        <v>3</v>
      </c>
      <c r="E204" s="38">
        <v>12</v>
      </c>
      <c r="F204" s="38"/>
      <c r="G204" s="36"/>
      <c r="H204" s="308">
        <v>21</v>
      </c>
      <c r="I204" s="309">
        <v>0</v>
      </c>
      <c r="J204" s="310">
        <v>2</v>
      </c>
      <c r="K204" s="38">
        <v>10</v>
      </c>
      <c r="L204" s="88"/>
    </row>
    <row r="205" spans="1:14">
      <c r="A205" s="2378"/>
      <c r="B205" s="1855"/>
      <c r="C205" s="73">
        <v>2017</v>
      </c>
      <c r="D205" s="37">
        <v>7</v>
      </c>
      <c r="E205" s="38">
        <v>74</v>
      </c>
      <c r="F205" s="38">
        <v>20</v>
      </c>
      <c r="G205" s="36"/>
      <c r="H205" s="308">
        <v>47</v>
      </c>
      <c r="I205" s="309">
        <v>1</v>
      </c>
      <c r="J205" s="310">
        <v>2</v>
      </c>
      <c r="K205" s="38">
        <v>3</v>
      </c>
      <c r="L205" s="88"/>
    </row>
    <row r="206" spans="1:14">
      <c r="A206" s="2378"/>
      <c r="B206" s="1855"/>
      <c r="C206" s="73">
        <v>2018</v>
      </c>
      <c r="D206" s="37"/>
      <c r="E206" s="38"/>
      <c r="F206" s="38"/>
      <c r="G206" s="36"/>
      <c r="H206" s="308"/>
      <c r="I206" s="309"/>
      <c r="J206" s="310"/>
      <c r="K206" s="38"/>
      <c r="L206" s="88"/>
    </row>
    <row r="207" spans="1:14">
      <c r="A207" s="2378"/>
      <c r="B207" s="1855"/>
      <c r="C207" s="73">
        <v>2019</v>
      </c>
      <c r="D207" s="37"/>
      <c r="E207" s="38"/>
      <c r="F207" s="38"/>
      <c r="G207" s="36"/>
      <c r="H207" s="308"/>
      <c r="I207" s="309"/>
      <c r="J207" s="310"/>
      <c r="K207" s="38"/>
      <c r="L207" s="88"/>
    </row>
    <row r="208" spans="1:14">
      <c r="A208" s="2378"/>
      <c r="B208" s="1855"/>
      <c r="C208" s="73">
        <v>2020</v>
      </c>
      <c r="D208" s="1809"/>
      <c r="E208" s="312"/>
      <c r="F208" s="312"/>
      <c r="G208" s="313"/>
      <c r="H208" s="314"/>
      <c r="I208" s="315"/>
      <c r="J208" s="316"/>
      <c r="K208" s="312"/>
      <c r="L208" s="317"/>
    </row>
    <row r="209" spans="1:12" ht="20.25" customHeight="1" thickBot="1">
      <c r="A209" s="1856"/>
      <c r="B209" s="1857"/>
      <c r="C209" s="136" t="s">
        <v>13</v>
      </c>
      <c r="D209" s="139">
        <f>SUM(D202:D208)</f>
        <v>10</v>
      </c>
      <c r="E209" s="139">
        <f t="shared" ref="E209:L209" si="23">SUM(E202:E208)</f>
        <v>86</v>
      </c>
      <c r="F209" s="139">
        <f t="shared" si="23"/>
        <v>20</v>
      </c>
      <c r="G209" s="139">
        <f t="shared" si="23"/>
        <v>0</v>
      </c>
      <c r="H209" s="139">
        <f t="shared" si="23"/>
        <v>68</v>
      </c>
      <c r="I209" s="139">
        <f t="shared" si="23"/>
        <v>1</v>
      </c>
      <c r="J209" s="139">
        <f t="shared" si="23"/>
        <v>4</v>
      </c>
      <c r="K209" s="139">
        <f t="shared" si="23"/>
        <v>13</v>
      </c>
      <c r="L209" s="139">
        <f t="shared" si="23"/>
        <v>0</v>
      </c>
    </row>
    <row r="211" spans="1:12" ht="15.75" thickBot="1"/>
    <row r="212" spans="1:12" ht="29.25">
      <c r="A212" s="1843" t="s">
        <v>161</v>
      </c>
      <c r="B212" s="322" t="s">
        <v>162</v>
      </c>
      <c r="C212" s="323">
        <v>2014</v>
      </c>
      <c r="D212" s="324">
        <v>2015</v>
      </c>
      <c r="E212" s="324">
        <v>2016</v>
      </c>
      <c r="F212" s="324">
        <v>2017</v>
      </c>
      <c r="G212" s="324">
        <v>2018</v>
      </c>
      <c r="H212" s="324">
        <v>2019</v>
      </c>
      <c r="I212" s="325">
        <v>2020</v>
      </c>
    </row>
    <row r="213" spans="1:12" ht="15" customHeight="1">
      <c r="A213" t="s">
        <v>163</v>
      </c>
      <c r="B213" s="1986" t="s">
        <v>596</v>
      </c>
      <c r="C213" s="72"/>
      <c r="D213" s="328">
        <f>SUM(D214:D217)</f>
        <v>1113183.2999999998</v>
      </c>
      <c r="E213" s="328">
        <f>SUM(E214:E217)</f>
        <v>142755.14000000001</v>
      </c>
      <c r="F213" s="328">
        <f>SUM(F214:F217)</f>
        <v>143724.48000000001</v>
      </c>
      <c r="G213" s="135"/>
      <c r="H213" s="135"/>
      <c r="I213" s="326"/>
    </row>
    <row r="214" spans="1:12">
      <c r="A214" t="s">
        <v>164</v>
      </c>
      <c r="B214" s="1984"/>
      <c r="C214" s="72"/>
      <c r="D214" s="328">
        <v>190616.1</v>
      </c>
      <c r="E214" s="328"/>
      <c r="F214" s="328"/>
      <c r="G214" s="135"/>
      <c r="H214" s="135"/>
      <c r="I214" s="326"/>
    </row>
    <row r="215" spans="1:12">
      <c r="A215" t="s">
        <v>165</v>
      </c>
      <c r="B215" s="1984"/>
      <c r="C215" s="72"/>
      <c r="D215" s="328"/>
      <c r="E215" s="328"/>
      <c r="F215" s="328"/>
      <c r="G215" s="135"/>
      <c r="H215" s="135"/>
      <c r="I215" s="326"/>
    </row>
    <row r="216" spans="1:12">
      <c r="A216" t="s">
        <v>166</v>
      </c>
      <c r="B216" s="1984"/>
      <c r="C216" s="72"/>
      <c r="D216" s="328">
        <v>110700</v>
      </c>
      <c r="E216" s="328"/>
      <c r="F216" s="328"/>
      <c r="G216" s="135"/>
      <c r="H216" s="135"/>
      <c r="I216" s="326"/>
    </row>
    <row r="217" spans="1:12">
      <c r="A217" t="s">
        <v>167</v>
      </c>
      <c r="B217" s="1984"/>
      <c r="C217" s="72"/>
      <c r="D217" s="328">
        <v>811867.2</v>
      </c>
      <c r="E217" s="328">
        <f>138450.14+4305</f>
        <v>142755.14000000001</v>
      </c>
      <c r="F217" s="328">
        <v>143724.48000000001</v>
      </c>
      <c r="G217" s="135"/>
      <c r="H217" s="135"/>
      <c r="I217" s="326"/>
    </row>
    <row r="218" spans="1:12" ht="30">
      <c r="A218" s="56" t="s">
        <v>168</v>
      </c>
      <c r="B218" s="1984"/>
      <c r="C218" s="72"/>
      <c r="D218" s="328">
        <v>656474.80999999994</v>
      </c>
      <c r="E218" s="328">
        <v>1396343.88</v>
      </c>
      <c r="F218" s="327">
        <v>1779881.87</v>
      </c>
      <c r="G218" s="135"/>
      <c r="H218" s="135"/>
      <c r="I218" s="326"/>
    </row>
    <row r="219" spans="1:12" ht="15.75" thickBot="1">
      <c r="A219" s="1808"/>
      <c r="B219" s="1985"/>
      <c r="C219" s="42" t="s">
        <v>13</v>
      </c>
      <c r="D219" s="332">
        <f>SUM(D214:D218)</f>
        <v>1769658.1099999999</v>
      </c>
      <c r="E219" s="332">
        <f t="shared" ref="E219:I219" si="24">SUM(E214:E218)</f>
        <v>1539099.02</v>
      </c>
      <c r="F219" s="332">
        <f>F217+F218</f>
        <v>1923606.35</v>
      </c>
      <c r="G219" s="333">
        <f t="shared" si="24"/>
        <v>0</v>
      </c>
      <c r="H219" s="333">
        <f t="shared" si="24"/>
        <v>0</v>
      </c>
      <c r="I219" s="333">
        <f t="shared" si="24"/>
        <v>0</v>
      </c>
    </row>
    <row r="221" spans="1:12">
      <c r="D221" s="1524"/>
    </row>
    <row r="227" spans="1:1">
      <c r="A227" s="56"/>
    </row>
  </sheetData>
  <mergeCells count="58">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C96:C97"/>
    <mergeCell ref="D96:E96"/>
    <mergeCell ref="A98:B105"/>
    <mergeCell ref="A107:A108"/>
    <mergeCell ref="B107:B108"/>
    <mergeCell ref="C107:C108"/>
    <mergeCell ref="D107:D108"/>
    <mergeCell ref="A96:A97"/>
    <mergeCell ref="B96:B97"/>
    <mergeCell ref="A109:B116"/>
    <mergeCell ref="A118:A119"/>
    <mergeCell ref="B118:B119"/>
    <mergeCell ref="C118:C119"/>
    <mergeCell ref="D118:D119"/>
    <mergeCell ref="A62:A69"/>
    <mergeCell ref="B62:B69"/>
    <mergeCell ref="A72:A79"/>
    <mergeCell ref="B72:B79"/>
    <mergeCell ref="A85:B92"/>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topLeftCell="C16" workbookViewId="0">
      <selection activeCell="F225" sqref="F22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404</v>
      </c>
      <c r="C1" s="1944"/>
      <c r="D1" s="1944"/>
      <c r="E1" s="1944"/>
      <c r="F1" s="1944"/>
    </row>
    <row r="2" spans="1:25" s="1" customFormat="1" ht="20.100000000000001" customHeight="1" thickBot="1"/>
    <row r="3" spans="1:25" s="4" customFormat="1" ht="20.100000000000001" customHeight="1">
      <c r="A3" s="1536" t="s">
        <v>2</v>
      </c>
      <c r="B3" s="1537"/>
      <c r="C3" s="1537"/>
      <c r="D3" s="1537"/>
      <c r="E3" s="1537"/>
      <c r="F3" s="2521"/>
      <c r="G3" s="2521"/>
      <c r="H3" s="2521"/>
      <c r="I3" s="2521"/>
      <c r="J3" s="2521"/>
      <c r="K3" s="2521"/>
      <c r="L3" s="2521"/>
      <c r="M3" s="2521"/>
      <c r="N3" s="2521"/>
      <c r="O3" s="2522"/>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19.5"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53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523" t="s">
        <v>405</v>
      </c>
      <c r="B17" s="2021"/>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524"/>
      <c r="B18" s="2021"/>
      <c r="C18" s="36">
        <v>2015</v>
      </c>
      <c r="D18" s="37"/>
      <c r="E18" s="38">
        <v>1</v>
      </c>
      <c r="F18" s="38"/>
      <c r="G18" s="32">
        <f>SUM(D18:F18)</f>
        <v>1</v>
      </c>
      <c r="H18" s="39">
        <v>1</v>
      </c>
      <c r="I18" s="38"/>
      <c r="J18" s="38"/>
      <c r="K18" s="38"/>
      <c r="L18" s="38"/>
      <c r="M18" s="38"/>
      <c r="N18" s="38"/>
      <c r="O18" s="40"/>
      <c r="P18" s="35"/>
      <c r="Q18" s="35"/>
      <c r="R18" s="35"/>
      <c r="S18" s="35"/>
      <c r="T18" s="35"/>
      <c r="U18" s="35"/>
      <c r="V18" s="35"/>
      <c r="W18" s="35"/>
      <c r="X18" s="35"/>
      <c r="Y18" s="35"/>
    </row>
    <row r="19" spans="1:25">
      <c r="A19" s="2524"/>
      <c r="B19" s="2021"/>
      <c r="C19" s="36">
        <v>2016</v>
      </c>
      <c r="D19" s="37"/>
      <c r="E19" s="38">
        <v>8</v>
      </c>
      <c r="F19" s="38">
        <v>3</v>
      </c>
      <c r="G19" s="32">
        <f t="shared" si="0"/>
        <v>11</v>
      </c>
      <c r="H19" s="39">
        <v>11</v>
      </c>
      <c r="I19" s="38"/>
      <c r="J19" s="38"/>
      <c r="K19" s="38"/>
      <c r="L19" s="38"/>
      <c r="M19" s="38"/>
      <c r="N19" s="38"/>
      <c r="O19" s="40"/>
      <c r="P19" s="35"/>
      <c r="Q19" s="35"/>
      <c r="R19" s="35"/>
      <c r="S19" s="35"/>
      <c r="T19" s="35"/>
      <c r="U19" s="35"/>
      <c r="V19" s="35"/>
      <c r="W19" s="35"/>
      <c r="X19" s="35"/>
      <c r="Y19" s="35"/>
    </row>
    <row r="20" spans="1:25">
      <c r="A20" s="2524"/>
      <c r="B20" s="2021"/>
      <c r="C20" s="36">
        <v>2017</v>
      </c>
      <c r="D20" s="37"/>
      <c r="E20" s="38">
        <v>58</v>
      </c>
      <c r="F20" s="38">
        <v>1</v>
      </c>
      <c r="G20" s="32">
        <f t="shared" si="0"/>
        <v>59</v>
      </c>
      <c r="H20" s="39">
        <v>59</v>
      </c>
      <c r="I20" s="38"/>
      <c r="J20" s="38"/>
      <c r="K20" s="38"/>
      <c r="L20" s="38"/>
      <c r="M20" s="38"/>
      <c r="N20" s="38"/>
      <c r="O20" s="40"/>
      <c r="P20" s="35"/>
      <c r="Q20" s="35"/>
      <c r="R20" s="35"/>
      <c r="S20" s="35"/>
      <c r="T20" s="35"/>
      <c r="U20" s="35"/>
      <c r="V20" s="35"/>
      <c r="W20" s="35"/>
      <c r="X20" s="35"/>
      <c r="Y20" s="35"/>
    </row>
    <row r="21" spans="1:25">
      <c r="A21" s="2524"/>
      <c r="B21" s="2021"/>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524"/>
      <c r="B22" s="2021"/>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524"/>
      <c r="B23" s="2021"/>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216.75" customHeight="1" thickBot="1">
      <c r="A24" s="2525"/>
      <c r="B24" s="2023"/>
      <c r="C24" s="42" t="s">
        <v>13</v>
      </c>
      <c r="D24" s="43">
        <f>SUM(D17:D23)</f>
        <v>0</v>
      </c>
      <c r="E24" s="44">
        <f>SUM(E17:E23)</f>
        <v>67</v>
      </c>
      <c r="F24" s="44">
        <f>SUM(F17:F23)</f>
        <v>4</v>
      </c>
      <c r="G24" s="45">
        <f>SUM(D24:F24)</f>
        <v>71</v>
      </c>
      <c r="H24" s="46">
        <f>SUM(H17:H23)</f>
        <v>71</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1539"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523" t="s">
        <v>406</v>
      </c>
      <c r="B28" s="2021"/>
      <c r="C28" s="57">
        <v>2014</v>
      </c>
      <c r="D28" s="33"/>
      <c r="E28" s="31"/>
      <c r="F28" s="31"/>
      <c r="G28" s="58">
        <f>SUM(D28:F28)</f>
        <v>0</v>
      </c>
      <c r="H28" s="35"/>
      <c r="I28" s="35"/>
      <c r="J28" s="35"/>
      <c r="K28" s="35"/>
      <c r="L28" s="35"/>
      <c r="M28" s="35"/>
      <c r="N28" s="35"/>
      <c r="O28" s="35"/>
      <c r="P28" s="35"/>
      <c r="Q28" s="7"/>
    </row>
    <row r="29" spans="1:25">
      <c r="A29" s="2524"/>
      <c r="B29" s="2021"/>
      <c r="C29" s="59">
        <v>2015</v>
      </c>
      <c r="D29" s="39"/>
      <c r="E29" s="38">
        <v>79</v>
      </c>
      <c r="F29" s="38"/>
      <c r="G29" s="58">
        <v>79</v>
      </c>
      <c r="H29" s="35"/>
      <c r="I29" s="35"/>
      <c r="J29" s="35"/>
      <c r="K29" s="35"/>
      <c r="L29" s="35"/>
      <c r="M29" s="35"/>
      <c r="N29" s="35"/>
      <c r="O29" s="35"/>
      <c r="P29" s="35"/>
      <c r="Q29" s="7"/>
    </row>
    <row r="30" spans="1:25">
      <c r="A30" s="2524"/>
      <c r="B30" s="2021"/>
      <c r="C30" s="59">
        <v>2016</v>
      </c>
      <c r="D30" s="39"/>
      <c r="E30" s="38">
        <v>1219</v>
      </c>
      <c r="F30" s="38">
        <v>71330</v>
      </c>
      <c r="G30" s="58">
        <f t="shared" ref="G30:G34" si="2">SUM(D30:F30)</f>
        <v>72549</v>
      </c>
      <c r="H30" s="35"/>
      <c r="I30" s="35"/>
      <c r="J30" s="35"/>
      <c r="K30" s="35"/>
      <c r="L30" s="35"/>
      <c r="M30" s="35"/>
      <c r="N30" s="35"/>
      <c r="O30" s="35"/>
      <c r="P30" s="35"/>
      <c r="Q30" s="7"/>
    </row>
    <row r="31" spans="1:25">
      <c r="A31" s="2524"/>
      <c r="B31" s="2021"/>
      <c r="C31" s="59">
        <v>2017</v>
      </c>
      <c r="D31" s="39"/>
      <c r="E31" s="38">
        <f>SUM(503+988+40+46+66+16+89)</f>
        <v>1748</v>
      </c>
      <c r="F31" s="38">
        <v>71250</v>
      </c>
      <c r="G31" s="58">
        <f t="shared" si="2"/>
        <v>72998</v>
      </c>
      <c r="H31" s="35"/>
      <c r="I31" s="35"/>
      <c r="J31" s="35"/>
      <c r="K31" s="35"/>
      <c r="L31" s="35"/>
      <c r="M31" s="35"/>
      <c r="N31" s="35"/>
      <c r="O31" s="35"/>
      <c r="P31" s="35"/>
      <c r="Q31" s="7"/>
    </row>
    <row r="32" spans="1:25">
      <c r="A32" s="2524"/>
      <c r="B32" s="2021"/>
      <c r="C32" s="59">
        <v>2018</v>
      </c>
      <c r="D32" s="39"/>
      <c r="E32" s="38"/>
      <c r="F32" s="38"/>
      <c r="G32" s="58">
        <f>SUM(D32:F32)</f>
        <v>0</v>
      </c>
      <c r="H32" s="35"/>
      <c r="I32" s="35"/>
      <c r="J32" s="35"/>
      <c r="K32" s="35"/>
      <c r="L32" s="35"/>
      <c r="M32" s="35"/>
      <c r="N32" s="35"/>
      <c r="O32" s="35"/>
      <c r="P32" s="35"/>
      <c r="Q32" s="7"/>
    </row>
    <row r="33" spans="1:17">
      <c r="A33" s="2524"/>
      <c r="B33" s="2021"/>
      <c r="C33" s="60">
        <v>2019</v>
      </c>
      <c r="D33" s="39"/>
      <c r="E33" s="38"/>
      <c r="F33" s="38"/>
      <c r="G33" s="58">
        <f t="shared" si="2"/>
        <v>0</v>
      </c>
      <c r="H33" s="35"/>
      <c r="I33" s="35"/>
      <c r="J33" s="35"/>
      <c r="K33" s="35"/>
      <c r="L33" s="35"/>
      <c r="M33" s="35"/>
      <c r="N33" s="35"/>
      <c r="O33" s="35"/>
      <c r="P33" s="35"/>
      <c r="Q33" s="7"/>
    </row>
    <row r="34" spans="1:17">
      <c r="A34" s="2524"/>
      <c r="B34" s="2021"/>
      <c r="C34" s="59">
        <v>2020</v>
      </c>
      <c r="D34" s="39"/>
      <c r="E34" s="38"/>
      <c r="F34" s="38"/>
      <c r="G34" s="58">
        <f t="shared" si="2"/>
        <v>0</v>
      </c>
      <c r="H34" s="35"/>
      <c r="I34" s="35"/>
      <c r="J34" s="35"/>
      <c r="K34" s="35"/>
      <c r="L34" s="35"/>
      <c r="M34" s="35"/>
      <c r="N34" s="35"/>
      <c r="O34" s="35"/>
      <c r="P34" s="35"/>
      <c r="Q34" s="7"/>
    </row>
    <row r="35" spans="1:17" ht="282" customHeight="1" thickBot="1">
      <c r="A35" s="2525"/>
      <c r="B35" s="2023"/>
      <c r="C35" s="61" t="s">
        <v>13</v>
      </c>
      <c r="D35" s="46">
        <f>SUM(D28:D34)</f>
        <v>0</v>
      </c>
      <c r="E35" s="44">
        <f>SUM(E28:E34)</f>
        <v>3046</v>
      </c>
      <c r="F35" s="44">
        <f>SUM(F28:F34)</f>
        <v>142580</v>
      </c>
      <c r="G35" s="48">
        <f>SUM(D35:F35)</f>
        <v>145626</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2523" t="s">
        <v>407</v>
      </c>
      <c r="B40" s="2021"/>
      <c r="C40" s="72">
        <v>2014</v>
      </c>
      <c r="D40" s="30"/>
      <c r="E40" s="29"/>
      <c r="F40" s="7"/>
      <c r="G40" s="35"/>
      <c r="H40" s="35"/>
    </row>
    <row r="41" spans="1:17">
      <c r="A41" s="2524"/>
      <c r="B41" s="2021"/>
      <c r="C41" s="73">
        <v>2015</v>
      </c>
      <c r="D41" s="37">
        <v>8114</v>
      </c>
      <c r="E41" s="1540"/>
      <c r="F41" s="7"/>
      <c r="G41" s="35"/>
      <c r="H41" s="35"/>
    </row>
    <row r="42" spans="1:17">
      <c r="A42" s="2524"/>
      <c r="B42" s="2021"/>
      <c r="C42" s="73">
        <v>2016</v>
      </c>
      <c r="D42" s="37">
        <v>95128</v>
      </c>
      <c r="E42" s="1540"/>
      <c r="F42" s="7"/>
      <c r="G42" s="35"/>
      <c r="H42" s="35"/>
    </row>
    <row r="43" spans="1:17">
      <c r="A43" s="2524"/>
      <c r="B43" s="2021"/>
      <c r="C43" s="73">
        <v>2017</v>
      </c>
      <c r="D43" s="37">
        <v>111305</v>
      </c>
      <c r="E43" s="36"/>
      <c r="F43" s="7"/>
      <c r="G43" s="35"/>
      <c r="H43" s="35"/>
    </row>
    <row r="44" spans="1:17">
      <c r="A44" s="2524"/>
      <c r="B44" s="2021"/>
      <c r="C44" s="73">
        <v>2018</v>
      </c>
      <c r="D44" s="37"/>
      <c r="E44" s="36"/>
      <c r="F44" s="7"/>
      <c r="G44" s="35"/>
      <c r="H44" s="35"/>
    </row>
    <row r="45" spans="1:17">
      <c r="A45" s="2524"/>
      <c r="B45" s="2021"/>
      <c r="C45" s="73">
        <v>2019</v>
      </c>
      <c r="D45" s="37"/>
      <c r="E45" s="36"/>
      <c r="F45" s="7"/>
      <c r="G45" s="35"/>
      <c r="H45" s="35"/>
    </row>
    <row r="46" spans="1:17">
      <c r="A46" s="2524"/>
      <c r="B46" s="2021"/>
      <c r="C46" s="73">
        <v>2020</v>
      </c>
      <c r="D46" s="37"/>
      <c r="E46" s="36"/>
      <c r="F46" s="7"/>
      <c r="G46" s="35"/>
      <c r="H46" s="35"/>
    </row>
    <row r="47" spans="1:17" ht="15.75" thickBot="1">
      <c r="A47" s="2525"/>
      <c r="B47" s="2023"/>
      <c r="C47" s="42" t="s">
        <v>13</v>
      </c>
      <c r="D47" s="43">
        <f>SUM(D40:D46)</f>
        <v>214547</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2018" t="s">
        <v>408</v>
      </c>
      <c r="B50" s="2526"/>
      <c r="C50" s="87" t="s">
        <v>43</v>
      </c>
      <c r="D50" s="30"/>
      <c r="E50" s="31"/>
      <c r="F50" s="31"/>
      <c r="G50" s="31"/>
      <c r="H50" s="31"/>
      <c r="I50" s="31"/>
      <c r="J50" s="31"/>
      <c r="K50" s="34"/>
    </row>
    <row r="51" spans="1:15" ht="15" customHeight="1">
      <c r="A51" s="2523"/>
      <c r="B51" s="2527"/>
      <c r="C51" s="73">
        <v>2014</v>
      </c>
      <c r="D51" s="37"/>
      <c r="E51" s="38"/>
      <c r="F51" s="38"/>
      <c r="G51" s="38"/>
      <c r="H51" s="38"/>
      <c r="I51" s="38"/>
      <c r="J51" s="38"/>
      <c r="K51" s="88"/>
    </row>
    <row r="52" spans="1:15">
      <c r="A52" s="2523"/>
      <c r="B52" s="2527"/>
      <c r="C52" s="73">
        <v>2015</v>
      </c>
      <c r="D52" s="37"/>
      <c r="E52" s="38"/>
      <c r="F52" s="38"/>
      <c r="G52" s="38"/>
      <c r="H52" s="38"/>
      <c r="I52" s="38"/>
      <c r="J52" s="38"/>
      <c r="K52" s="88"/>
    </row>
    <row r="53" spans="1:15">
      <c r="A53" s="2523"/>
      <c r="B53" s="2527"/>
      <c r="C53" s="73">
        <v>2016</v>
      </c>
      <c r="D53" s="37">
        <v>2</v>
      </c>
      <c r="E53" s="38">
        <v>0</v>
      </c>
      <c r="F53" s="38">
        <v>0</v>
      </c>
      <c r="G53" s="38">
        <v>544</v>
      </c>
      <c r="H53" s="38">
        <v>0</v>
      </c>
      <c r="I53" s="38">
        <v>10</v>
      </c>
      <c r="J53" s="38">
        <v>226</v>
      </c>
      <c r="K53" s="88">
        <v>0</v>
      </c>
    </row>
    <row r="54" spans="1:15">
      <c r="A54" s="2523"/>
      <c r="B54" s="2527"/>
      <c r="C54" s="73">
        <v>2017</v>
      </c>
      <c r="D54" s="37">
        <v>2</v>
      </c>
      <c r="E54" s="38"/>
      <c r="F54" s="38"/>
      <c r="G54" s="38">
        <v>125</v>
      </c>
      <c r="H54" s="38">
        <v>20</v>
      </c>
      <c r="I54" s="38">
        <v>99</v>
      </c>
      <c r="J54" s="580">
        <v>165</v>
      </c>
      <c r="K54" s="88"/>
    </row>
    <row r="55" spans="1:15">
      <c r="A55" s="2523"/>
      <c r="B55" s="2527"/>
      <c r="C55" s="73">
        <v>2018</v>
      </c>
      <c r="D55" s="37"/>
      <c r="E55" s="38"/>
      <c r="F55" s="38"/>
      <c r="G55" s="38"/>
      <c r="H55" s="38"/>
      <c r="I55" s="38"/>
      <c r="J55" s="38"/>
      <c r="K55" s="88"/>
    </row>
    <row r="56" spans="1:15">
      <c r="A56" s="2523"/>
      <c r="B56" s="2527"/>
      <c r="C56" s="73">
        <v>2019</v>
      </c>
      <c r="D56" s="37"/>
      <c r="E56" s="38"/>
      <c r="F56" s="38"/>
      <c r="G56" s="38"/>
      <c r="H56" s="38"/>
      <c r="I56" s="38"/>
      <c r="J56" s="38"/>
      <c r="K56" s="88"/>
    </row>
    <row r="57" spans="1:15">
      <c r="A57" s="2523"/>
      <c r="B57" s="2527"/>
      <c r="C57" s="73">
        <v>2020</v>
      </c>
      <c r="D57" s="37"/>
      <c r="E57" s="38"/>
      <c r="F57" s="38"/>
      <c r="G57" s="38"/>
      <c r="H57" s="38"/>
      <c r="I57" s="38"/>
      <c r="J57" s="38"/>
      <c r="K57" s="93"/>
    </row>
    <row r="58" spans="1:15" ht="20.25" customHeight="1" thickBot="1">
      <c r="A58" s="2528"/>
      <c r="B58" s="2529"/>
      <c r="C58" s="42" t="s">
        <v>13</v>
      </c>
      <c r="D58" s="43">
        <f>SUM(D51:D57)</f>
        <v>4</v>
      </c>
      <c r="E58" s="44">
        <f>SUM(E51:E57)</f>
        <v>0</v>
      </c>
      <c r="F58" s="44">
        <f>SUM(F51:F57)</f>
        <v>0</v>
      </c>
      <c r="G58" s="44">
        <f>SUM(G51:G57)</f>
        <v>669</v>
      </c>
      <c r="H58" s="44">
        <f>SUM(H51:H57)</f>
        <v>20</v>
      </c>
      <c r="I58" s="44">
        <f t="shared" ref="I58" si="3">SUM(I51:I57)</f>
        <v>109</v>
      </c>
      <c r="J58" s="44">
        <f>SUM(J51:J57)</f>
        <v>391</v>
      </c>
      <c r="K58" s="48">
        <f>SUM(K50:K56)</f>
        <v>0</v>
      </c>
    </row>
    <row r="59" spans="1:15" ht="15.75" thickBot="1"/>
    <row r="60" spans="1:15" ht="21" customHeight="1">
      <c r="A60" s="2073" t="s">
        <v>44</v>
      </c>
      <c r="B60" s="540"/>
      <c r="C60" s="2074" t="s">
        <v>9</v>
      </c>
      <c r="D60" s="2417" t="s">
        <v>45</v>
      </c>
      <c r="E60" s="1541" t="s">
        <v>6</v>
      </c>
      <c r="F60" s="1542"/>
      <c r="G60" s="1542"/>
      <c r="H60" s="1542"/>
      <c r="I60" s="1542"/>
      <c r="J60" s="1542"/>
      <c r="K60" s="1542"/>
      <c r="L60" s="1543"/>
    </row>
    <row r="61" spans="1:15" ht="115.5" customHeight="1">
      <c r="A61" s="2428"/>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516" t="s">
        <v>409</v>
      </c>
      <c r="B62" s="1899"/>
      <c r="C62" s="106">
        <v>2014</v>
      </c>
      <c r="D62" s="107"/>
      <c r="E62" s="108"/>
      <c r="F62" s="109"/>
      <c r="G62" s="109"/>
      <c r="H62" s="109"/>
      <c r="I62" s="109"/>
      <c r="J62" s="109"/>
      <c r="K62" s="109"/>
      <c r="L62" s="34"/>
      <c r="M62" s="7"/>
      <c r="N62" s="7"/>
      <c r="O62" s="7"/>
    </row>
    <row r="63" spans="1:15">
      <c r="A63" s="2509"/>
      <c r="B63" s="1899"/>
      <c r="C63" s="110">
        <v>2015</v>
      </c>
      <c r="D63" s="111">
        <v>3</v>
      </c>
      <c r="E63" s="112">
        <v>3</v>
      </c>
      <c r="F63" s="38"/>
      <c r="G63" s="38"/>
      <c r="H63" s="38"/>
      <c r="I63" s="38"/>
      <c r="J63" s="38"/>
      <c r="K63" s="38"/>
      <c r="L63" s="88"/>
      <c r="M63" s="7"/>
      <c r="N63" s="7"/>
      <c r="O63" s="7"/>
    </row>
    <row r="64" spans="1:15">
      <c r="A64" s="2509"/>
      <c r="B64" s="1899"/>
      <c r="C64" s="110">
        <v>2016</v>
      </c>
      <c r="D64" s="111">
        <v>151</v>
      </c>
      <c r="E64" s="112">
        <v>151</v>
      </c>
      <c r="F64" s="38">
        <v>0</v>
      </c>
      <c r="G64" s="38">
        <v>0</v>
      </c>
      <c r="H64" s="38">
        <v>0</v>
      </c>
      <c r="I64" s="38">
        <v>0</v>
      </c>
      <c r="J64" s="38">
        <v>0</v>
      </c>
      <c r="K64" s="38">
        <v>0</v>
      </c>
      <c r="L64" s="88">
        <v>0</v>
      </c>
      <c r="M64" s="7"/>
      <c r="N64" s="7"/>
      <c r="O64" s="7"/>
    </row>
    <row r="65" spans="1:20">
      <c r="A65" s="2509"/>
      <c r="B65" s="1899"/>
      <c r="C65" s="110">
        <v>2017</v>
      </c>
      <c r="D65" s="111">
        <v>70</v>
      </c>
      <c r="E65" s="112">
        <v>70</v>
      </c>
      <c r="F65" s="38"/>
      <c r="G65" s="38"/>
      <c r="H65" s="38"/>
      <c r="I65" s="38"/>
      <c r="J65" s="38"/>
      <c r="K65" s="38"/>
      <c r="L65" s="88"/>
      <c r="M65" s="7"/>
      <c r="N65" s="7"/>
      <c r="O65" s="7"/>
    </row>
    <row r="66" spans="1:20">
      <c r="A66" s="2509"/>
      <c r="B66" s="1899"/>
      <c r="C66" s="110">
        <v>2018</v>
      </c>
      <c r="D66" s="111"/>
      <c r="E66" s="112"/>
      <c r="F66" s="38"/>
      <c r="G66" s="38"/>
      <c r="H66" s="38"/>
      <c r="I66" s="38"/>
      <c r="J66" s="38"/>
      <c r="K66" s="38"/>
      <c r="L66" s="88"/>
      <c r="M66" s="7"/>
      <c r="N66" s="7"/>
      <c r="O66" s="7"/>
    </row>
    <row r="67" spans="1:20" ht="17.25" customHeight="1">
      <c r="A67" s="2509"/>
      <c r="B67" s="1899"/>
      <c r="C67" s="110">
        <v>2019</v>
      </c>
      <c r="D67" s="111"/>
      <c r="E67" s="112"/>
      <c r="F67" s="38"/>
      <c r="G67" s="38"/>
      <c r="H67" s="38"/>
      <c r="I67" s="38"/>
      <c r="J67" s="38"/>
      <c r="K67" s="38"/>
      <c r="L67" s="88"/>
      <c r="M67" s="7"/>
      <c r="N67" s="7"/>
      <c r="O67" s="7"/>
    </row>
    <row r="68" spans="1:20" ht="16.5" customHeight="1">
      <c r="A68" s="2509"/>
      <c r="B68" s="1899"/>
      <c r="C68" s="110">
        <v>2020</v>
      </c>
      <c r="D68" s="111"/>
      <c r="E68" s="112"/>
      <c r="F68" s="38"/>
      <c r="G68" s="38"/>
      <c r="H68" s="38"/>
      <c r="I68" s="38"/>
      <c r="J68" s="38"/>
      <c r="K68" s="38"/>
      <c r="L68" s="88"/>
      <c r="M68" s="78"/>
      <c r="N68" s="78"/>
      <c r="O68" s="78"/>
    </row>
    <row r="69" spans="1:20" ht="65.25" customHeight="1" thickBot="1">
      <c r="A69" s="1980"/>
      <c r="B69" s="1900"/>
      <c r="C69" s="113" t="s">
        <v>13</v>
      </c>
      <c r="D69" s="114">
        <f>SUM(D62:D68)</f>
        <v>224</v>
      </c>
      <c r="E69" s="115">
        <f>SUM(E62:E68)</f>
        <v>224</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545"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518" t="s">
        <v>410</v>
      </c>
      <c r="B72" s="1899"/>
      <c r="C72" s="72">
        <v>2014</v>
      </c>
      <c r="D72" s="131"/>
      <c r="E72" s="131"/>
      <c r="F72" s="131"/>
      <c r="G72" s="132">
        <f>SUM(D72:F72)</f>
        <v>0</v>
      </c>
      <c r="H72" s="30"/>
      <c r="I72" s="133"/>
      <c r="J72" s="109"/>
      <c r="K72" s="109"/>
      <c r="L72" s="109"/>
      <c r="M72" s="109"/>
      <c r="N72" s="109"/>
      <c r="O72" s="134"/>
    </row>
    <row r="73" spans="1:20">
      <c r="A73" s="2505"/>
      <c r="B73" s="1899"/>
      <c r="C73" s="73">
        <v>2015</v>
      </c>
      <c r="D73" s="135"/>
      <c r="E73" s="135"/>
      <c r="F73" s="135"/>
      <c r="G73" s="132"/>
      <c r="H73" s="37"/>
      <c r="I73" s="37"/>
      <c r="J73" s="38"/>
      <c r="K73" s="38"/>
      <c r="L73" s="38"/>
      <c r="M73" s="38"/>
      <c r="N73" s="38"/>
      <c r="O73" s="88"/>
    </row>
    <row r="74" spans="1:20">
      <c r="A74" s="2505"/>
      <c r="B74" s="1899"/>
      <c r="C74" s="73">
        <v>2016</v>
      </c>
      <c r="D74" s="135"/>
      <c r="E74" s="135">
        <v>0</v>
      </c>
      <c r="F74" s="135">
        <v>0</v>
      </c>
      <c r="G74" s="132">
        <f t="shared" ref="G74:G78" si="5">SUM(D74:F74)</f>
        <v>0</v>
      </c>
      <c r="H74" s="37"/>
      <c r="I74" s="37">
        <v>0</v>
      </c>
      <c r="J74" s="38">
        <v>0</v>
      </c>
      <c r="K74" s="38">
        <v>0</v>
      </c>
      <c r="L74" s="38">
        <v>0</v>
      </c>
      <c r="M74" s="38">
        <v>0</v>
      </c>
      <c r="N74" s="38">
        <v>0</v>
      </c>
      <c r="O74" s="88">
        <v>0</v>
      </c>
    </row>
    <row r="75" spans="1:20">
      <c r="A75" s="2505"/>
      <c r="B75" s="1899"/>
      <c r="C75" s="73">
        <v>2017</v>
      </c>
      <c r="D75" s="135">
        <v>8</v>
      </c>
      <c r="E75" s="135"/>
      <c r="F75" s="135"/>
      <c r="G75" s="132">
        <f t="shared" si="5"/>
        <v>8</v>
      </c>
      <c r="H75" s="37">
        <v>8</v>
      </c>
      <c r="I75" s="37"/>
      <c r="J75" s="38"/>
      <c r="K75" s="38"/>
      <c r="L75" s="38"/>
      <c r="M75" s="38"/>
      <c r="N75" s="38"/>
      <c r="O75" s="88"/>
    </row>
    <row r="76" spans="1:20">
      <c r="A76" s="2505"/>
      <c r="B76" s="1899"/>
      <c r="C76" s="73">
        <v>2018</v>
      </c>
      <c r="D76" s="135"/>
      <c r="E76" s="135"/>
      <c r="F76" s="135"/>
      <c r="G76" s="132">
        <f t="shared" si="5"/>
        <v>0</v>
      </c>
      <c r="H76" s="37"/>
      <c r="I76" s="37"/>
      <c r="J76" s="38"/>
      <c r="K76" s="38"/>
      <c r="L76" s="38"/>
      <c r="M76" s="38"/>
      <c r="N76" s="38"/>
      <c r="O76" s="88"/>
    </row>
    <row r="77" spans="1:20" ht="15.75" customHeight="1">
      <c r="A77" s="2505"/>
      <c r="B77" s="1899"/>
      <c r="C77" s="73">
        <v>2019</v>
      </c>
      <c r="D77" s="135"/>
      <c r="E77" s="135"/>
      <c r="F77" s="135"/>
      <c r="G77" s="132">
        <f t="shared" si="5"/>
        <v>0</v>
      </c>
      <c r="H77" s="37"/>
      <c r="I77" s="37"/>
      <c r="J77" s="38"/>
      <c r="K77" s="38"/>
      <c r="L77" s="38"/>
      <c r="M77" s="38"/>
      <c r="N77" s="38"/>
      <c r="O77" s="88"/>
    </row>
    <row r="78" spans="1:20" ht="17.25" customHeight="1">
      <c r="A78" s="2505"/>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8</v>
      </c>
      <c r="E79" s="114">
        <f>SUM(E72:E78)</f>
        <v>0</v>
      </c>
      <c r="F79" s="114">
        <f>SUM(F72:F78)</f>
        <v>0</v>
      </c>
      <c r="G79" s="137">
        <f>SUM(G72:G78)</f>
        <v>8</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546" t="s">
        <v>56</v>
      </c>
      <c r="B84" s="1547" t="s">
        <v>178</v>
      </c>
      <c r="C84" s="149" t="s">
        <v>9</v>
      </c>
      <c r="D84" s="150" t="s">
        <v>58</v>
      </c>
      <c r="E84" s="151" t="s">
        <v>59</v>
      </c>
      <c r="F84" s="152" t="s">
        <v>60</v>
      </c>
      <c r="G84" s="152" t="s">
        <v>61</v>
      </c>
      <c r="H84" s="152" t="s">
        <v>62</v>
      </c>
      <c r="I84" s="152" t="s">
        <v>63</v>
      </c>
      <c r="J84" s="152" t="s">
        <v>64</v>
      </c>
      <c r="K84" s="153" t="s">
        <v>65</v>
      </c>
    </row>
    <row r="85" spans="1:16" ht="15" customHeight="1">
      <c r="A85" s="2519"/>
      <c r="B85" s="1899"/>
      <c r="C85" s="72">
        <v>2014</v>
      </c>
      <c r="D85" s="154"/>
      <c r="E85" s="155"/>
      <c r="F85" s="31"/>
      <c r="G85" s="31"/>
      <c r="H85" s="31"/>
      <c r="I85" s="31"/>
      <c r="J85" s="31"/>
      <c r="K85" s="34"/>
    </row>
    <row r="86" spans="1:16">
      <c r="A86" s="2520"/>
      <c r="B86" s="1899"/>
      <c r="C86" s="73">
        <v>2015</v>
      </c>
      <c r="D86" s="156"/>
      <c r="E86" s="112"/>
      <c r="F86" s="38"/>
      <c r="G86" s="38"/>
      <c r="H86" s="38"/>
      <c r="I86" s="38"/>
      <c r="J86" s="38"/>
      <c r="K86" s="88"/>
    </row>
    <row r="87" spans="1:16">
      <c r="A87" s="2520"/>
      <c r="B87" s="1899"/>
      <c r="C87" s="73">
        <v>2016</v>
      </c>
      <c r="D87" s="156">
        <v>0</v>
      </c>
      <c r="E87" s="112"/>
      <c r="F87" s="38"/>
      <c r="G87" s="38"/>
      <c r="H87" s="38"/>
      <c r="I87" s="38"/>
      <c r="J87" s="38"/>
      <c r="K87" s="88"/>
    </row>
    <row r="88" spans="1:16">
      <c r="A88" s="2520"/>
      <c r="B88" s="1899"/>
      <c r="C88" s="73">
        <v>2017</v>
      </c>
      <c r="D88" s="156">
        <v>1</v>
      </c>
      <c r="E88" s="112">
        <v>1</v>
      </c>
      <c r="F88" s="38"/>
      <c r="G88" s="38"/>
      <c r="H88" s="38"/>
      <c r="I88" s="38"/>
      <c r="J88" s="38"/>
      <c r="K88" s="88"/>
    </row>
    <row r="89" spans="1:16">
      <c r="A89" s="2520"/>
      <c r="B89" s="1899"/>
      <c r="C89" s="73">
        <v>2018</v>
      </c>
      <c r="D89" s="156"/>
      <c r="E89" s="112"/>
      <c r="F89" s="38"/>
      <c r="G89" s="38"/>
      <c r="H89" s="38"/>
      <c r="I89" s="38"/>
      <c r="J89" s="38"/>
      <c r="K89" s="88"/>
    </row>
    <row r="90" spans="1:16">
      <c r="A90" s="2520"/>
      <c r="B90" s="1899"/>
      <c r="C90" s="73">
        <v>2019</v>
      </c>
      <c r="D90" s="156"/>
      <c r="E90" s="112"/>
      <c r="F90" s="38"/>
      <c r="G90" s="38"/>
      <c r="H90" s="38"/>
      <c r="I90" s="38"/>
      <c r="J90" s="38"/>
      <c r="K90" s="88"/>
    </row>
    <row r="91" spans="1:16">
      <c r="A91" s="2520"/>
      <c r="B91" s="1899"/>
      <c r="C91" s="73">
        <v>2020</v>
      </c>
      <c r="D91" s="156"/>
      <c r="E91" s="112"/>
      <c r="F91" s="38"/>
      <c r="G91" s="38"/>
      <c r="H91" s="38"/>
      <c r="I91" s="38"/>
      <c r="J91" s="38"/>
      <c r="K91" s="88"/>
    </row>
    <row r="92" spans="1:16" ht="18" customHeight="1" thickBot="1">
      <c r="A92" s="1940"/>
      <c r="B92" s="1900"/>
      <c r="C92" s="136" t="s">
        <v>13</v>
      </c>
      <c r="D92" s="157">
        <f t="shared" ref="D92:I92" si="7">SUM(D85:D91)</f>
        <v>1</v>
      </c>
      <c r="E92" s="115">
        <f t="shared" si="7"/>
        <v>1</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1916" t="s">
        <v>70</v>
      </c>
      <c r="E96" s="1917"/>
      <c r="F96" s="162" t="s">
        <v>71</v>
      </c>
      <c r="G96" s="1548"/>
      <c r="H96" s="1548"/>
      <c r="I96" s="1548"/>
      <c r="J96" s="1548"/>
      <c r="K96" s="1548"/>
      <c r="L96" s="1548"/>
      <c r="M96" s="1549"/>
      <c r="N96" s="165"/>
      <c r="O96" s="165"/>
      <c r="P96" s="165"/>
    </row>
    <row r="97" spans="1:16" ht="100.5" customHeight="1">
      <c r="A97" s="2406"/>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516"/>
      <c r="B98" s="1899"/>
      <c r="C98" s="106">
        <v>2014</v>
      </c>
      <c r="D98" s="30"/>
      <c r="E98" s="31"/>
      <c r="F98" s="174"/>
      <c r="G98" s="175"/>
      <c r="H98" s="175"/>
      <c r="I98" s="175"/>
      <c r="J98" s="175"/>
      <c r="K98" s="175"/>
      <c r="L98" s="175"/>
      <c r="M98" s="176"/>
      <c r="N98" s="165"/>
      <c r="O98" s="165"/>
      <c r="P98" s="165"/>
    </row>
    <row r="99" spans="1:16" ht="16.5" customHeight="1">
      <c r="A99" s="2509"/>
      <c r="B99" s="1899"/>
      <c r="C99" s="110">
        <v>2015</v>
      </c>
      <c r="D99" s="37"/>
      <c r="E99" s="38"/>
      <c r="F99" s="177"/>
      <c r="G99" s="178"/>
      <c r="H99" s="178"/>
      <c r="I99" s="178"/>
      <c r="J99" s="178"/>
      <c r="K99" s="178"/>
      <c r="L99" s="178"/>
      <c r="M99" s="179"/>
      <c r="N99" s="165"/>
      <c r="O99" s="165"/>
      <c r="P99" s="165"/>
    </row>
    <row r="100" spans="1:16" ht="16.5" customHeight="1">
      <c r="A100" s="2509"/>
      <c r="B100" s="1899"/>
      <c r="C100" s="110">
        <v>2016</v>
      </c>
      <c r="D100" s="37">
        <v>0</v>
      </c>
      <c r="E100" s="38">
        <v>0</v>
      </c>
      <c r="F100" s="177"/>
      <c r="G100" s="178"/>
      <c r="H100" s="178"/>
      <c r="I100" s="178"/>
      <c r="J100" s="178"/>
      <c r="K100" s="178"/>
      <c r="L100" s="178"/>
      <c r="M100" s="179"/>
      <c r="N100" s="165"/>
      <c r="O100" s="165"/>
      <c r="P100" s="165"/>
    </row>
    <row r="101" spans="1:16" ht="16.5" customHeight="1">
      <c r="A101" s="2509"/>
      <c r="B101" s="1899"/>
      <c r="C101" s="110">
        <v>2017</v>
      </c>
      <c r="D101" s="37"/>
      <c r="E101" s="38"/>
      <c r="F101" s="177"/>
      <c r="G101" s="178"/>
      <c r="H101" s="178"/>
      <c r="I101" s="178"/>
      <c r="J101" s="178"/>
      <c r="K101" s="178"/>
      <c r="L101" s="178"/>
      <c r="M101" s="179"/>
      <c r="N101" s="165"/>
      <c r="O101" s="165"/>
      <c r="P101" s="165"/>
    </row>
    <row r="102" spans="1:16" ht="15.75" customHeight="1">
      <c r="A102" s="2509"/>
      <c r="B102" s="1899"/>
      <c r="C102" s="110">
        <v>2018</v>
      </c>
      <c r="D102" s="37"/>
      <c r="E102" s="38"/>
      <c r="F102" s="177"/>
      <c r="G102" s="178"/>
      <c r="H102" s="178"/>
      <c r="I102" s="178"/>
      <c r="J102" s="178"/>
      <c r="K102" s="178"/>
      <c r="L102" s="178"/>
      <c r="M102" s="179"/>
      <c r="N102" s="165"/>
      <c r="O102" s="165"/>
      <c r="P102" s="165"/>
    </row>
    <row r="103" spans="1:16" ht="14.25" customHeight="1">
      <c r="A103" s="2509"/>
      <c r="B103" s="1899"/>
      <c r="C103" s="110">
        <v>2019</v>
      </c>
      <c r="D103" s="37"/>
      <c r="E103" s="38"/>
      <c r="F103" s="177"/>
      <c r="G103" s="178"/>
      <c r="H103" s="178"/>
      <c r="I103" s="178"/>
      <c r="J103" s="178"/>
      <c r="K103" s="178"/>
      <c r="L103" s="178"/>
      <c r="M103" s="179"/>
      <c r="N103" s="165"/>
      <c r="O103" s="165"/>
      <c r="P103" s="165"/>
    </row>
    <row r="104" spans="1:16" ht="14.25" customHeight="1">
      <c r="A104" s="2509"/>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78</v>
      </c>
      <c r="E107" s="162" t="s">
        <v>79</v>
      </c>
      <c r="F107" s="1548"/>
      <c r="G107" s="1548"/>
      <c r="H107" s="1548"/>
      <c r="I107" s="1548"/>
      <c r="J107" s="1548"/>
      <c r="K107" s="1548"/>
      <c r="L107" s="1549"/>
      <c r="M107" s="185"/>
      <c r="N107" s="185"/>
    </row>
    <row r="108" spans="1:16" ht="103.5" customHeight="1">
      <c r="A108" s="2406"/>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516"/>
      <c r="B109" s="1899"/>
      <c r="C109" s="106">
        <v>2014</v>
      </c>
      <c r="D109" s="31"/>
      <c r="E109" s="174"/>
      <c r="F109" s="175"/>
      <c r="G109" s="175"/>
      <c r="H109" s="175"/>
      <c r="I109" s="175"/>
      <c r="J109" s="175"/>
      <c r="K109" s="175"/>
      <c r="L109" s="176"/>
      <c r="M109" s="185"/>
      <c r="N109" s="185"/>
    </row>
    <row r="110" spans="1:16">
      <c r="A110" s="2509"/>
      <c r="B110" s="1899"/>
      <c r="C110" s="110">
        <v>2015</v>
      </c>
      <c r="D110" s="38"/>
      <c r="E110" s="177"/>
      <c r="F110" s="178"/>
      <c r="G110" s="178"/>
      <c r="H110" s="178"/>
      <c r="I110" s="178"/>
      <c r="J110" s="178"/>
      <c r="K110" s="178"/>
      <c r="L110" s="179"/>
      <c r="M110" s="185"/>
      <c r="N110" s="185"/>
    </row>
    <row r="111" spans="1:16">
      <c r="A111" s="2509"/>
      <c r="B111" s="1899"/>
      <c r="C111" s="110">
        <v>2016</v>
      </c>
      <c r="D111" s="38">
        <v>0</v>
      </c>
      <c r="E111" s="177"/>
      <c r="F111" s="178"/>
      <c r="G111" s="178"/>
      <c r="H111" s="178"/>
      <c r="I111" s="178"/>
      <c r="J111" s="178"/>
      <c r="K111" s="178"/>
      <c r="L111" s="179"/>
      <c r="M111" s="185"/>
      <c r="N111" s="185"/>
    </row>
    <row r="112" spans="1:16">
      <c r="A112" s="2509"/>
      <c r="B112" s="1899"/>
      <c r="C112" s="110">
        <v>2017</v>
      </c>
      <c r="D112" s="38"/>
      <c r="E112" s="177"/>
      <c r="F112" s="178"/>
      <c r="G112" s="178"/>
      <c r="H112" s="178"/>
      <c r="I112" s="178"/>
      <c r="J112" s="178"/>
      <c r="K112" s="178"/>
      <c r="L112" s="179"/>
      <c r="M112" s="185"/>
      <c r="N112" s="185"/>
    </row>
    <row r="113" spans="1:14">
      <c r="A113" s="2509"/>
      <c r="B113" s="1899"/>
      <c r="C113" s="110">
        <v>2018</v>
      </c>
      <c r="D113" s="38"/>
      <c r="E113" s="177"/>
      <c r="F113" s="178"/>
      <c r="G113" s="178"/>
      <c r="H113" s="178"/>
      <c r="I113" s="178"/>
      <c r="J113" s="178"/>
      <c r="K113" s="178"/>
      <c r="L113" s="179"/>
      <c r="M113" s="185"/>
      <c r="N113" s="185"/>
    </row>
    <row r="114" spans="1:14">
      <c r="A114" s="2509"/>
      <c r="B114" s="1899"/>
      <c r="C114" s="110">
        <v>2019</v>
      </c>
      <c r="D114" s="38"/>
      <c r="E114" s="177"/>
      <c r="F114" s="178"/>
      <c r="G114" s="178"/>
      <c r="H114" s="178"/>
      <c r="I114" s="178"/>
      <c r="J114" s="178"/>
      <c r="K114" s="178"/>
      <c r="L114" s="179"/>
      <c r="M114" s="185"/>
      <c r="N114" s="185"/>
    </row>
    <row r="115" spans="1:14">
      <c r="A115" s="2509"/>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62" t="s">
        <v>79</v>
      </c>
      <c r="F118" s="1548"/>
      <c r="G118" s="1548"/>
      <c r="H118" s="1548"/>
      <c r="I118" s="1548"/>
      <c r="J118" s="1548"/>
      <c r="K118" s="1548"/>
      <c r="L118" s="1549"/>
      <c r="M118" s="185"/>
      <c r="N118" s="185"/>
    </row>
    <row r="119" spans="1:14" ht="120.75" customHeight="1">
      <c r="A119" s="2406"/>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516" t="s">
        <v>411</v>
      </c>
      <c r="B120" s="1899"/>
      <c r="C120" s="106">
        <v>2014</v>
      </c>
      <c r="D120" s="31"/>
      <c r="E120" s="174"/>
      <c r="F120" s="175"/>
      <c r="G120" s="175"/>
      <c r="H120" s="175"/>
      <c r="I120" s="175"/>
      <c r="J120" s="175"/>
      <c r="K120" s="175"/>
      <c r="L120" s="176"/>
      <c r="M120" s="185"/>
      <c r="N120" s="185"/>
    </row>
    <row r="121" spans="1:14">
      <c r="A121" s="2509"/>
      <c r="B121" s="1899"/>
      <c r="C121" s="110">
        <v>2015</v>
      </c>
      <c r="D121" s="38"/>
      <c r="E121" s="177"/>
      <c r="F121" s="178"/>
      <c r="G121" s="178"/>
      <c r="H121" s="178"/>
      <c r="I121" s="178"/>
      <c r="J121" s="178"/>
      <c r="K121" s="178"/>
      <c r="L121" s="179"/>
      <c r="M121" s="185"/>
      <c r="N121" s="185"/>
    </row>
    <row r="122" spans="1:14">
      <c r="A122" s="2509"/>
      <c r="B122" s="1899"/>
      <c r="C122" s="110">
        <v>2016</v>
      </c>
      <c r="D122" s="38">
        <v>2</v>
      </c>
      <c r="E122" s="177">
        <v>2</v>
      </c>
      <c r="F122" s="178"/>
      <c r="G122" s="178"/>
      <c r="H122" s="178"/>
      <c r="I122" s="178"/>
      <c r="J122" s="178"/>
      <c r="K122" s="178"/>
      <c r="L122" s="179"/>
      <c r="M122" s="185"/>
      <c r="N122" s="185"/>
    </row>
    <row r="123" spans="1:14">
      <c r="A123" s="2509"/>
      <c r="B123" s="1899"/>
      <c r="C123" s="110">
        <v>2017</v>
      </c>
      <c r="D123" s="38">
        <v>1</v>
      </c>
      <c r="E123" s="177">
        <v>1</v>
      </c>
      <c r="F123" s="178"/>
      <c r="G123" s="178"/>
      <c r="H123" s="178"/>
      <c r="I123" s="178"/>
      <c r="J123" s="178"/>
      <c r="K123" s="178"/>
      <c r="L123" s="179"/>
      <c r="M123" s="185"/>
      <c r="N123" s="185"/>
    </row>
    <row r="124" spans="1:14">
      <c r="A124" s="2509"/>
      <c r="B124" s="1899"/>
      <c r="C124" s="110">
        <v>2018</v>
      </c>
      <c r="D124" s="38"/>
      <c r="E124" s="177"/>
      <c r="F124" s="178"/>
      <c r="G124" s="178"/>
      <c r="H124" s="178"/>
      <c r="I124" s="178"/>
      <c r="J124" s="178"/>
      <c r="K124" s="178"/>
      <c r="L124" s="179"/>
      <c r="M124" s="185"/>
      <c r="N124" s="185"/>
    </row>
    <row r="125" spans="1:14">
      <c r="A125" s="2509"/>
      <c r="B125" s="1899"/>
      <c r="C125" s="110">
        <v>2019</v>
      </c>
      <c r="D125" s="38"/>
      <c r="E125" s="177"/>
      <c r="F125" s="178"/>
      <c r="G125" s="178"/>
      <c r="H125" s="178"/>
      <c r="I125" s="178"/>
      <c r="J125" s="178"/>
      <c r="K125" s="178"/>
      <c r="L125" s="179"/>
      <c r="M125" s="185"/>
      <c r="N125" s="185"/>
    </row>
    <row r="126" spans="1:14">
      <c r="A126" s="2509"/>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3</v>
      </c>
      <c r="E127" s="180">
        <f t="shared" si="10"/>
        <v>3</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550" t="s">
        <v>9</v>
      </c>
      <c r="D129" s="189" t="s">
        <v>85</v>
      </c>
      <c r="E129" s="1551"/>
      <c r="F129" s="1551"/>
      <c r="G129" s="191"/>
      <c r="H129" s="185"/>
      <c r="I129" s="185"/>
      <c r="J129" s="185"/>
      <c r="K129" s="185"/>
      <c r="L129" s="185"/>
      <c r="M129" s="185"/>
      <c r="N129" s="185"/>
    </row>
    <row r="130" spans="1:16" ht="77.25" customHeight="1">
      <c r="A130" s="2406"/>
      <c r="B130" s="1912"/>
      <c r="C130" s="1528"/>
      <c r="D130" s="166" t="s">
        <v>86</v>
      </c>
      <c r="E130" s="193" t="s">
        <v>87</v>
      </c>
      <c r="F130" s="167" t="s">
        <v>88</v>
      </c>
      <c r="G130" s="194" t="s">
        <v>13</v>
      </c>
      <c r="H130" s="185"/>
      <c r="I130" s="185"/>
      <c r="J130" s="185"/>
      <c r="K130" s="185"/>
      <c r="L130" s="185"/>
      <c r="M130" s="185"/>
      <c r="N130" s="185"/>
    </row>
    <row r="131" spans="1:16" ht="15" customHeight="1">
      <c r="A131" s="2518"/>
      <c r="B131" s="1855"/>
      <c r="C131" s="479">
        <v>2015</v>
      </c>
      <c r="D131" s="90"/>
      <c r="E131" s="91"/>
      <c r="F131" s="91"/>
      <c r="G131" s="195"/>
      <c r="H131" s="185"/>
      <c r="I131" s="185"/>
      <c r="J131" s="185"/>
      <c r="K131" s="185"/>
      <c r="L131" s="185"/>
      <c r="M131" s="185"/>
      <c r="N131" s="185"/>
    </row>
    <row r="132" spans="1:16">
      <c r="A132" s="2505"/>
      <c r="B132" s="1855"/>
      <c r="C132" s="110">
        <v>2016</v>
      </c>
      <c r="D132" s="37">
        <v>0</v>
      </c>
      <c r="E132" s="38">
        <v>0</v>
      </c>
      <c r="F132" s="38">
        <v>1657</v>
      </c>
      <c r="G132" s="195">
        <f t="shared" ref="G132:G136" si="11">SUM(D132:F132)</f>
        <v>1657</v>
      </c>
      <c r="H132" s="185"/>
      <c r="I132" s="185"/>
      <c r="J132" s="185"/>
      <c r="K132" s="185"/>
      <c r="L132" s="185"/>
      <c r="M132" s="185"/>
      <c r="N132" s="185"/>
    </row>
    <row r="133" spans="1:16">
      <c r="A133" s="2505"/>
      <c r="B133" s="1855"/>
      <c r="C133" s="110">
        <v>2017</v>
      </c>
      <c r="D133" s="37">
        <v>0</v>
      </c>
      <c r="E133" s="38">
        <v>0</v>
      </c>
      <c r="F133" s="38">
        <v>979</v>
      </c>
      <c r="G133" s="195">
        <f t="shared" si="11"/>
        <v>979</v>
      </c>
      <c r="H133" s="185"/>
      <c r="I133" s="185"/>
      <c r="J133" s="185"/>
      <c r="K133" s="185"/>
      <c r="L133" s="185"/>
      <c r="M133" s="185"/>
      <c r="N133" s="185"/>
    </row>
    <row r="134" spans="1:16">
      <c r="A134" s="2505"/>
      <c r="B134" s="1855"/>
      <c r="C134" s="110">
        <v>2018</v>
      </c>
      <c r="D134" s="37"/>
      <c r="E134" s="38"/>
      <c r="F134" s="38"/>
      <c r="G134" s="195">
        <f t="shared" si="11"/>
        <v>0</v>
      </c>
      <c r="H134" s="185"/>
      <c r="I134" s="185"/>
      <c r="J134" s="185"/>
      <c r="K134" s="185"/>
      <c r="L134" s="185"/>
      <c r="M134" s="185"/>
      <c r="N134" s="185"/>
    </row>
    <row r="135" spans="1:16">
      <c r="A135" s="2505"/>
      <c r="B135" s="1855"/>
      <c r="C135" s="110">
        <v>2019</v>
      </c>
      <c r="D135" s="37"/>
      <c r="E135" s="38"/>
      <c r="F135" s="38"/>
      <c r="G135" s="195">
        <f t="shared" si="11"/>
        <v>0</v>
      </c>
      <c r="H135" s="185"/>
      <c r="I135" s="185"/>
      <c r="J135" s="185"/>
      <c r="K135" s="185"/>
      <c r="L135" s="185"/>
      <c r="M135" s="185"/>
      <c r="N135" s="185"/>
    </row>
    <row r="136" spans="1:16">
      <c r="A136" s="2505"/>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SUM(E131:E136)</f>
        <v>0</v>
      </c>
      <c r="F137" s="139">
        <f>SUM(F131:F136)</f>
        <v>2636</v>
      </c>
      <c r="G137" s="196">
        <f>SUM(G131:G136)</f>
        <v>2636</v>
      </c>
      <c r="H137" s="185"/>
      <c r="I137" s="185"/>
      <c r="J137" s="185"/>
      <c r="K137" s="185"/>
      <c r="L137" s="185"/>
      <c r="M137" s="185"/>
      <c r="N137" s="185"/>
    </row>
    <row r="138" spans="1:16" ht="17.25" customHeight="1">
      <c r="A138" s="1552"/>
      <c r="B138" s="445"/>
      <c r="C138" s="1553"/>
      <c r="D138" s="35"/>
      <c r="E138" s="35"/>
      <c r="F138" s="35"/>
      <c r="G138" s="1554"/>
      <c r="H138" s="185"/>
      <c r="I138" s="185"/>
      <c r="J138" s="185"/>
      <c r="K138" s="185"/>
      <c r="L138" s="185"/>
      <c r="M138" s="185"/>
      <c r="N138" s="185"/>
    </row>
    <row r="139" spans="1:16">
      <c r="A139" s="183"/>
      <c r="B139" s="183"/>
      <c r="C139" s="184"/>
      <c r="D139" s="7"/>
      <c r="E139" s="7"/>
      <c r="H139" s="185"/>
      <c r="I139" s="185"/>
      <c r="J139" s="185"/>
      <c r="K139" s="185"/>
      <c r="L139" s="185"/>
      <c r="M139" s="185"/>
      <c r="N139" s="185"/>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30.5" customHeight="1">
      <c r="A143" s="2410"/>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516"/>
      <c r="B144" s="1899"/>
      <c r="C144" s="106">
        <v>2014</v>
      </c>
      <c r="D144" s="30"/>
      <c r="E144" s="30"/>
      <c r="F144" s="31"/>
      <c r="G144" s="175"/>
      <c r="H144" s="175"/>
      <c r="I144" s="213">
        <f>D144+F144+G144+H144</f>
        <v>0</v>
      </c>
      <c r="J144" s="214"/>
      <c r="K144" s="215"/>
      <c r="L144" s="214"/>
      <c r="M144" s="215"/>
      <c r="N144" s="216"/>
      <c r="O144" s="165"/>
      <c r="P144" s="165"/>
    </row>
    <row r="145" spans="1:16" ht="19.5" customHeight="1">
      <c r="A145" s="2509"/>
      <c r="B145" s="1899"/>
      <c r="C145" s="110">
        <v>2015</v>
      </c>
      <c r="D145" s="1558">
        <v>2</v>
      </c>
      <c r="E145" s="1558"/>
      <c r="F145" s="1559">
        <v>1</v>
      </c>
      <c r="G145" s="1560"/>
      <c r="H145" s="1560"/>
      <c r="I145" s="1561">
        <v>2</v>
      </c>
      <c r="J145" s="1562"/>
      <c r="K145" s="218"/>
      <c r="L145" s="217"/>
      <c r="M145" s="218"/>
      <c r="N145" s="219"/>
      <c r="O145" s="165"/>
      <c r="P145" s="165"/>
    </row>
    <row r="146" spans="1:16" ht="20.25" customHeight="1">
      <c r="A146" s="2509"/>
      <c r="B146" s="1899"/>
      <c r="C146" s="110">
        <v>2016</v>
      </c>
      <c r="D146" s="37">
        <v>4</v>
      </c>
      <c r="E146" s="37">
        <v>6</v>
      </c>
      <c r="F146" s="38"/>
      <c r="G146" s="178"/>
      <c r="H146" s="178"/>
      <c r="I146" s="213">
        <f t="shared" ref="I146:I150" si="12">D146+F146+G146+H146</f>
        <v>4</v>
      </c>
      <c r="J146" s="217"/>
      <c r="K146" s="218"/>
      <c r="L146" s="217"/>
      <c r="M146" s="218"/>
      <c r="N146" s="219">
        <v>4</v>
      </c>
      <c r="O146" s="165"/>
      <c r="P146" s="165"/>
    </row>
    <row r="147" spans="1:16" ht="17.25" customHeight="1">
      <c r="A147" s="2509"/>
      <c r="B147" s="1899"/>
      <c r="C147" s="110">
        <v>2017</v>
      </c>
      <c r="D147" s="37">
        <v>4</v>
      </c>
      <c r="E147" s="37">
        <v>6</v>
      </c>
      <c r="F147" s="38"/>
      <c r="G147" s="178"/>
      <c r="H147" s="178"/>
      <c r="I147" s="213">
        <f t="shared" si="12"/>
        <v>4</v>
      </c>
      <c r="J147" s="217">
        <v>1</v>
      </c>
      <c r="K147" s="218"/>
      <c r="L147" s="217"/>
      <c r="M147" s="218"/>
      <c r="N147" s="219">
        <v>3</v>
      </c>
      <c r="O147" s="165"/>
      <c r="P147" s="165"/>
    </row>
    <row r="148" spans="1:16" ht="19.5" customHeight="1">
      <c r="A148" s="2509"/>
      <c r="B148" s="1899"/>
      <c r="C148" s="110">
        <v>2018</v>
      </c>
      <c r="D148" s="37"/>
      <c r="E148" s="37"/>
      <c r="F148" s="38"/>
      <c r="G148" s="178"/>
      <c r="H148" s="178"/>
      <c r="I148" s="213">
        <f t="shared" si="12"/>
        <v>0</v>
      </c>
      <c r="J148" s="217"/>
      <c r="K148" s="218"/>
      <c r="L148" s="217"/>
      <c r="M148" s="218"/>
      <c r="N148" s="219"/>
      <c r="O148" s="165"/>
      <c r="P148" s="165"/>
    </row>
    <row r="149" spans="1:16" ht="19.5" customHeight="1">
      <c r="A149" s="2509"/>
      <c r="B149" s="1899"/>
      <c r="C149" s="110">
        <v>2019</v>
      </c>
      <c r="D149" s="37"/>
      <c r="E149" s="37"/>
      <c r="F149" s="38"/>
      <c r="G149" s="178"/>
      <c r="H149" s="178"/>
      <c r="I149" s="213">
        <f t="shared" si="12"/>
        <v>0</v>
      </c>
      <c r="J149" s="217"/>
      <c r="K149" s="218"/>
      <c r="L149" s="217"/>
      <c r="M149" s="218"/>
      <c r="N149" s="219"/>
      <c r="O149" s="165"/>
      <c r="P149" s="165"/>
    </row>
    <row r="150" spans="1:16" ht="18.75" customHeight="1">
      <c r="A150" s="2509"/>
      <c r="B150" s="1899"/>
      <c r="C150" s="110">
        <v>2020</v>
      </c>
      <c r="D150" s="37"/>
      <c r="E150" s="37"/>
      <c r="F150" s="38"/>
      <c r="G150" s="178"/>
      <c r="H150" s="178"/>
      <c r="I150" s="213">
        <f t="shared" si="12"/>
        <v>0</v>
      </c>
      <c r="J150" s="217"/>
      <c r="K150" s="218"/>
      <c r="L150" s="217"/>
      <c r="M150" s="218"/>
      <c r="N150" s="219"/>
      <c r="O150" s="165"/>
      <c r="P150" s="165"/>
    </row>
    <row r="151" spans="1:16" ht="18" customHeight="1" thickBot="1">
      <c r="A151" s="1893"/>
      <c r="B151" s="1900"/>
      <c r="C151" s="113" t="s">
        <v>13</v>
      </c>
      <c r="D151" s="139">
        <f>SUM(D144:D150)</f>
        <v>10</v>
      </c>
      <c r="E151" s="139">
        <f t="shared" ref="E151:I151" si="13">SUM(E144:E150)</f>
        <v>12</v>
      </c>
      <c r="F151" s="139">
        <f t="shared" si="13"/>
        <v>1</v>
      </c>
      <c r="G151" s="139">
        <f t="shared" si="13"/>
        <v>0</v>
      </c>
      <c r="H151" s="139">
        <f t="shared" si="13"/>
        <v>0</v>
      </c>
      <c r="I151" s="220">
        <f t="shared" si="13"/>
        <v>10</v>
      </c>
      <c r="J151" s="221">
        <f>SUM(J144:J150)</f>
        <v>1</v>
      </c>
      <c r="K151" s="222">
        <f>SUM(K144:K150)</f>
        <v>0</v>
      </c>
      <c r="L151" s="221">
        <f>SUM(L144:L150)</f>
        <v>0</v>
      </c>
      <c r="M151" s="222">
        <f>SUM(M144:M150)</f>
        <v>0</v>
      </c>
      <c r="N151" s="223">
        <f>SUM(N144:N150)</f>
        <v>7</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2517"/>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516"/>
      <c r="B155" s="1899"/>
      <c r="C155" s="233">
        <v>2014</v>
      </c>
      <c r="D155" s="214"/>
      <c r="E155" s="175"/>
      <c r="F155" s="215"/>
      <c r="G155" s="213">
        <f>SUM(D155:F155)</f>
        <v>0</v>
      </c>
      <c r="H155" s="214"/>
      <c r="I155" s="175"/>
      <c r="J155" s="176"/>
      <c r="O155" s="165"/>
      <c r="P155" s="165"/>
    </row>
    <row r="156" spans="1:16" ht="19.5" customHeight="1">
      <c r="A156" s="2509"/>
      <c r="B156" s="1899"/>
      <c r="C156" s="234">
        <v>2015</v>
      </c>
      <c r="D156" s="217"/>
      <c r="E156" s="178"/>
      <c r="F156" s="218"/>
      <c r="G156" s="213"/>
      <c r="H156" s="217"/>
      <c r="I156" s="178"/>
      <c r="J156" s="179"/>
      <c r="O156" s="165"/>
      <c r="P156" s="165"/>
    </row>
    <row r="157" spans="1:16" ht="17.25" customHeight="1">
      <c r="A157" s="2509"/>
      <c r="B157" s="1899"/>
      <c r="C157" s="234">
        <v>2016</v>
      </c>
      <c r="D157" s="217">
        <v>1</v>
      </c>
      <c r="E157" s="178"/>
      <c r="F157" s="218"/>
      <c r="G157" s="213">
        <f t="shared" ref="G157:G161" si="14">SUM(D157:F157)</f>
        <v>1</v>
      </c>
      <c r="H157" s="217"/>
      <c r="I157" s="178"/>
      <c r="J157" s="179">
        <v>1</v>
      </c>
      <c r="O157" s="165"/>
      <c r="P157" s="165"/>
    </row>
    <row r="158" spans="1:16" ht="15" customHeight="1">
      <c r="A158" s="2509"/>
      <c r="B158" s="1899"/>
      <c r="C158" s="234">
        <v>2017</v>
      </c>
      <c r="D158" s="217"/>
      <c r="E158" s="178"/>
      <c r="F158" s="218"/>
      <c r="G158" s="213">
        <f t="shared" si="14"/>
        <v>0</v>
      </c>
      <c r="H158" s="217"/>
      <c r="I158" s="178"/>
      <c r="J158" s="179"/>
      <c r="O158" s="165"/>
      <c r="P158" s="165"/>
    </row>
    <row r="159" spans="1:16" ht="19.5" customHeight="1">
      <c r="A159" s="2509"/>
      <c r="B159" s="1899"/>
      <c r="C159" s="234">
        <v>2018</v>
      </c>
      <c r="D159" s="217"/>
      <c r="E159" s="178"/>
      <c r="F159" s="218"/>
      <c r="G159" s="213">
        <f t="shared" si="14"/>
        <v>0</v>
      </c>
      <c r="H159" s="217"/>
      <c r="I159" s="178"/>
      <c r="J159" s="179"/>
      <c r="O159" s="165"/>
      <c r="P159" s="165"/>
    </row>
    <row r="160" spans="1:16" ht="15" customHeight="1">
      <c r="A160" s="2509"/>
      <c r="B160" s="1899"/>
      <c r="C160" s="234">
        <v>2019</v>
      </c>
      <c r="D160" s="217"/>
      <c r="E160" s="178"/>
      <c r="F160" s="218"/>
      <c r="G160" s="213">
        <f t="shared" si="14"/>
        <v>0</v>
      </c>
      <c r="H160" s="217"/>
      <c r="I160" s="178"/>
      <c r="J160" s="179"/>
      <c r="O160" s="165"/>
      <c r="P160" s="165"/>
    </row>
    <row r="161" spans="1:18" ht="17.25" customHeight="1">
      <c r="A161" s="2509"/>
      <c r="B161" s="1899"/>
      <c r="C161" s="234">
        <v>2020</v>
      </c>
      <c r="D161" s="217"/>
      <c r="E161" s="178"/>
      <c r="F161" s="218"/>
      <c r="G161" s="213">
        <f t="shared" si="14"/>
        <v>0</v>
      </c>
      <c r="H161" s="217"/>
      <c r="I161" s="178"/>
      <c r="J161" s="179"/>
      <c r="O161" s="165"/>
      <c r="P161" s="165"/>
    </row>
    <row r="162" spans="1:18" ht="15.75" thickBot="1">
      <c r="A162" s="1893"/>
      <c r="B162" s="1900"/>
      <c r="C162" s="235" t="s">
        <v>13</v>
      </c>
      <c r="D162" s="221">
        <f t="shared" ref="D162:G162" si="15">SUM(D155:D161)</f>
        <v>1</v>
      </c>
      <c r="E162" s="181">
        <f t="shared" si="15"/>
        <v>0</v>
      </c>
      <c r="F162" s="222">
        <f t="shared" si="15"/>
        <v>0</v>
      </c>
      <c r="G162" s="222">
        <f t="shared" si="15"/>
        <v>1</v>
      </c>
      <c r="H162" s="221">
        <f>SUM(H155:H161)</f>
        <v>0</v>
      </c>
      <c r="I162" s="181">
        <f>SUM(I155:I161)</f>
        <v>0</v>
      </c>
      <c r="J162" s="236">
        <f>SUM(J155:J161)</f>
        <v>1</v>
      </c>
    </row>
    <row r="163" spans="1:18" ht="24.75" customHeight="1" thickBot="1">
      <c r="A163" s="237"/>
      <c r="B163" s="238"/>
      <c r="C163" s="239"/>
      <c r="D163" s="165"/>
      <c r="E163" s="1566"/>
      <c r="F163" s="165"/>
      <c r="G163" s="165"/>
      <c r="H163" s="165"/>
      <c r="I163" s="165"/>
      <c r="J163" s="241"/>
      <c r="K163" s="242"/>
    </row>
    <row r="164" spans="1:18" ht="95.25" customHeight="1">
      <c r="A164" s="243" t="s">
        <v>115</v>
      </c>
      <c r="B164" s="405" t="s">
        <v>181</v>
      </c>
      <c r="C164" s="1567" t="s">
        <v>9</v>
      </c>
      <c r="D164" s="246" t="s">
        <v>117</v>
      </c>
      <c r="E164" s="246" t="s">
        <v>118</v>
      </c>
      <c r="F164" s="1568" t="s">
        <v>119</v>
      </c>
      <c r="G164" s="246" t="s">
        <v>120</v>
      </c>
      <c r="H164" s="246" t="s">
        <v>121</v>
      </c>
      <c r="I164" s="248" t="s">
        <v>122</v>
      </c>
      <c r="J164" s="249" t="s">
        <v>123</v>
      </c>
      <c r="K164" s="249" t="s">
        <v>124</v>
      </c>
      <c r="L164" s="1569"/>
    </row>
    <row r="165" spans="1:18" ht="15.75" customHeight="1">
      <c r="A165" s="2510" t="s">
        <v>412</v>
      </c>
      <c r="B165" s="2511"/>
      <c r="C165" s="251">
        <v>2014</v>
      </c>
      <c r="D165" s="175"/>
      <c r="E165" s="175"/>
      <c r="F165" s="175"/>
      <c r="G165" s="175"/>
      <c r="H165" s="175"/>
      <c r="I165" s="176"/>
      <c r="J165" s="1570">
        <f>SUM(D165,F165,H165)</f>
        <v>0</v>
      </c>
      <c r="K165" s="253">
        <f>SUM(E165,G165,I165)</f>
        <v>0</v>
      </c>
      <c r="L165" s="1569"/>
    </row>
    <row r="166" spans="1:18">
      <c r="A166" s="2512"/>
      <c r="B166" s="2513"/>
      <c r="C166" s="254">
        <v>2015</v>
      </c>
      <c r="D166" s="255"/>
      <c r="E166" s="255"/>
      <c r="F166" s="255"/>
      <c r="G166" s="255"/>
      <c r="H166" s="255"/>
      <c r="I166" s="256"/>
      <c r="J166" s="1571">
        <v>0</v>
      </c>
      <c r="K166" s="408">
        <f t="shared" ref="K166:K171" si="16">SUM(E166,G166,I166)</f>
        <v>0</v>
      </c>
      <c r="L166" s="1569"/>
    </row>
    <row r="167" spans="1:18">
      <c r="A167" s="2512"/>
      <c r="B167" s="2513"/>
      <c r="C167" s="254">
        <v>2016</v>
      </c>
      <c r="D167" s="255">
        <v>0</v>
      </c>
      <c r="E167" s="255"/>
      <c r="F167" s="255"/>
      <c r="G167" s="255"/>
      <c r="H167" s="255">
        <v>148</v>
      </c>
      <c r="I167" s="256">
        <v>148</v>
      </c>
      <c r="J167" s="1571">
        <f t="shared" ref="J167:J171" si="17">SUM(D167,F167,H167)</f>
        <v>148</v>
      </c>
      <c r="K167" s="408">
        <f t="shared" si="16"/>
        <v>148</v>
      </c>
    </row>
    <row r="168" spans="1:18">
      <c r="A168" s="2512"/>
      <c r="B168" s="2513"/>
      <c r="C168" s="254">
        <v>2017</v>
      </c>
      <c r="D168" s="255"/>
      <c r="E168" s="165"/>
      <c r="F168" s="255"/>
      <c r="G168" s="255"/>
      <c r="H168" s="255">
        <v>25</v>
      </c>
      <c r="I168" s="256"/>
      <c r="J168" s="1571">
        <f t="shared" si="17"/>
        <v>25</v>
      </c>
      <c r="K168" s="408">
        <f t="shared" si="16"/>
        <v>0</v>
      </c>
    </row>
    <row r="169" spans="1:18">
      <c r="A169" s="2512"/>
      <c r="B169" s="2513"/>
      <c r="C169" s="262">
        <v>2018</v>
      </c>
      <c r="D169" s="255"/>
      <c r="E169" s="255"/>
      <c r="F169" s="255"/>
      <c r="G169" s="263"/>
      <c r="H169" s="255"/>
      <c r="I169" s="256"/>
      <c r="J169" s="1571">
        <f t="shared" si="17"/>
        <v>0</v>
      </c>
      <c r="K169" s="408">
        <f t="shared" si="16"/>
        <v>0</v>
      </c>
      <c r="L169" s="1569"/>
    </row>
    <row r="170" spans="1:18">
      <c r="A170" s="2512"/>
      <c r="B170" s="2513"/>
      <c r="C170" s="254">
        <v>2019</v>
      </c>
      <c r="D170" s="165"/>
      <c r="E170" s="255"/>
      <c r="F170" s="255"/>
      <c r="G170" s="255"/>
      <c r="H170" s="263"/>
      <c r="I170" s="256"/>
      <c r="J170" s="1571">
        <f t="shared" si="17"/>
        <v>0</v>
      </c>
      <c r="K170" s="408">
        <f t="shared" si="16"/>
        <v>0</v>
      </c>
      <c r="L170" s="1569"/>
    </row>
    <row r="171" spans="1:18">
      <c r="A171" s="2512"/>
      <c r="B171" s="2513"/>
      <c r="C171" s="262">
        <v>2020</v>
      </c>
      <c r="D171" s="255"/>
      <c r="E171" s="255"/>
      <c r="F171" s="255"/>
      <c r="G171" s="255"/>
      <c r="H171" s="255"/>
      <c r="I171" s="256"/>
      <c r="J171" s="1571">
        <f t="shared" si="17"/>
        <v>0</v>
      </c>
      <c r="K171" s="408">
        <f t="shared" si="16"/>
        <v>0</v>
      </c>
      <c r="L171" s="1569"/>
    </row>
    <row r="172" spans="1:18" ht="41.25" customHeight="1" thickBot="1">
      <c r="A172" s="2514"/>
      <c r="B172" s="2515"/>
      <c r="C172" s="265" t="s">
        <v>13</v>
      </c>
      <c r="D172" s="181">
        <f>SUM(D165:D171)</f>
        <v>0</v>
      </c>
      <c r="E172" s="181">
        <f t="shared" ref="E172:K172" si="18">SUM(E165:E171)</f>
        <v>0</v>
      </c>
      <c r="F172" s="181">
        <f t="shared" si="18"/>
        <v>0</v>
      </c>
      <c r="G172" s="181">
        <f t="shared" si="18"/>
        <v>0</v>
      </c>
      <c r="H172" s="181">
        <f t="shared" si="18"/>
        <v>173</v>
      </c>
      <c r="I172" s="409">
        <f t="shared" si="18"/>
        <v>148</v>
      </c>
      <c r="J172" s="410">
        <f t="shared" si="18"/>
        <v>173</v>
      </c>
      <c r="K172" s="221">
        <f t="shared" si="18"/>
        <v>148</v>
      </c>
      <c r="L172" s="1569"/>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273" t="s">
        <v>128</v>
      </c>
      <c r="E176" s="1572"/>
      <c r="F176" s="1572"/>
      <c r="G176" s="1573"/>
      <c r="H176" s="276"/>
      <c r="I176" s="1888" t="s">
        <v>129</v>
      </c>
      <c r="J176" s="2393"/>
      <c r="K176" s="2393"/>
      <c r="L176" s="2393"/>
      <c r="M176" s="2393"/>
      <c r="N176" s="2393"/>
      <c r="O176" s="2394"/>
    </row>
    <row r="177" spans="1:24" s="56" customFormat="1" ht="129.75" customHeight="1">
      <c r="A177" s="2390"/>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24" ht="15" customHeight="1">
      <c r="A178" s="2509" t="s">
        <v>413</v>
      </c>
      <c r="B178" s="1899"/>
      <c r="C178" s="106">
        <v>2014</v>
      </c>
      <c r="D178" s="30"/>
      <c r="E178" s="31"/>
      <c r="F178" s="31"/>
      <c r="G178" s="284">
        <f>SUM(D178:F178)</f>
        <v>0</v>
      </c>
      <c r="H178" s="155"/>
      <c r="I178" s="155"/>
      <c r="J178" s="31"/>
      <c r="K178" s="31"/>
      <c r="L178" s="31"/>
      <c r="M178" s="31"/>
      <c r="N178" s="31"/>
      <c r="O178" s="34"/>
    </row>
    <row r="179" spans="1:24">
      <c r="A179" s="2509"/>
      <c r="B179" s="1899"/>
      <c r="C179" s="110">
        <v>2015</v>
      </c>
      <c r="D179" s="37">
        <v>2</v>
      </c>
      <c r="E179" s="38"/>
      <c r="F179" s="38"/>
      <c r="G179" s="284">
        <f t="shared" ref="G179:G184" si="19">SUM(D179:F179)</f>
        <v>2</v>
      </c>
      <c r="H179" s="411"/>
      <c r="I179" s="112">
        <v>2</v>
      </c>
      <c r="J179" s="38"/>
      <c r="K179" s="38">
        <v>0</v>
      </c>
      <c r="L179" s="38">
        <v>0</v>
      </c>
      <c r="M179" s="38">
        <v>0</v>
      </c>
      <c r="N179" s="38">
        <v>0</v>
      </c>
      <c r="O179" s="88">
        <v>0</v>
      </c>
      <c r="T179">
        <v>9345</v>
      </c>
    </row>
    <row r="180" spans="1:24">
      <c r="A180" s="2509"/>
      <c r="B180" s="1899"/>
      <c r="C180" s="110">
        <v>2016</v>
      </c>
      <c r="D180" s="37">
        <v>5</v>
      </c>
      <c r="E180" s="38">
        <v>6</v>
      </c>
      <c r="F180" s="38">
        <v>5</v>
      </c>
      <c r="G180" s="284">
        <f t="shared" si="19"/>
        <v>16</v>
      </c>
      <c r="H180" s="411">
        <v>17</v>
      </c>
      <c r="I180" s="112">
        <v>16</v>
      </c>
      <c r="J180" s="38">
        <v>0</v>
      </c>
      <c r="K180" s="38">
        <v>0</v>
      </c>
      <c r="L180" s="38">
        <v>0</v>
      </c>
      <c r="M180" s="38">
        <v>0</v>
      </c>
      <c r="N180" s="38">
        <v>0</v>
      </c>
      <c r="O180" s="88">
        <v>0</v>
      </c>
      <c r="T180">
        <v>490.45</v>
      </c>
    </row>
    <row r="181" spans="1:24">
      <c r="A181" s="2509"/>
      <c r="B181" s="1899"/>
      <c r="C181" s="110">
        <v>2017</v>
      </c>
      <c r="D181" s="37">
        <f>SUM(49+1+2+2)</f>
        <v>54</v>
      </c>
      <c r="E181" s="38">
        <v>2</v>
      </c>
      <c r="F181" s="38">
        <v>5</v>
      </c>
      <c r="G181" s="284">
        <f t="shared" si="19"/>
        <v>61</v>
      </c>
      <c r="H181" s="411">
        <f>SUM(3+48+4+4+2+5+6+3+5+4)</f>
        <v>84</v>
      </c>
      <c r="I181" s="112">
        <v>61</v>
      </c>
      <c r="J181" s="38"/>
      <c r="K181" s="38"/>
      <c r="L181" s="38"/>
      <c r="M181" s="38"/>
      <c r="N181" s="38"/>
      <c r="O181" s="88"/>
      <c r="T181">
        <v>78</v>
      </c>
    </row>
    <row r="182" spans="1:24">
      <c r="A182" s="2509"/>
      <c r="B182" s="1899"/>
      <c r="C182" s="110">
        <v>2018</v>
      </c>
      <c r="D182" s="37"/>
      <c r="E182" s="38"/>
      <c r="F182" s="38"/>
      <c r="G182" s="284">
        <f t="shared" si="19"/>
        <v>0</v>
      </c>
      <c r="H182" s="411"/>
      <c r="I182" s="112"/>
      <c r="J182" s="38"/>
      <c r="K182" s="38"/>
      <c r="L182" s="38"/>
      <c r="M182" s="38"/>
      <c r="N182" s="38"/>
      <c r="O182" s="88"/>
      <c r="T182">
        <v>1400</v>
      </c>
    </row>
    <row r="183" spans="1:24">
      <c r="A183" s="2509"/>
      <c r="B183" s="1899"/>
      <c r="C183" s="110">
        <v>2019</v>
      </c>
      <c r="D183" s="37"/>
      <c r="E183" s="38"/>
      <c r="F183" s="38"/>
      <c r="G183" s="284">
        <f t="shared" si="19"/>
        <v>0</v>
      </c>
      <c r="H183" s="411"/>
      <c r="I183" s="112"/>
      <c r="J183" s="38"/>
      <c r="K183" s="38"/>
      <c r="L183" s="38"/>
      <c r="M183" s="38"/>
      <c r="N183" s="38"/>
      <c r="O183" s="88"/>
      <c r="T183">
        <f>SUM(T179:T182)</f>
        <v>11313.45</v>
      </c>
    </row>
    <row r="184" spans="1:24">
      <c r="A184" s="2509"/>
      <c r="B184" s="1899"/>
      <c r="C184" s="110">
        <v>2020</v>
      </c>
      <c r="D184" s="37"/>
      <c r="E184" s="38"/>
      <c r="F184" s="38"/>
      <c r="G184" s="284">
        <f t="shared" si="19"/>
        <v>0</v>
      </c>
      <c r="H184" s="411"/>
      <c r="I184" s="112"/>
      <c r="J184" s="38"/>
      <c r="K184" s="38"/>
      <c r="L184" s="38"/>
      <c r="M184" s="38"/>
      <c r="N184" s="38"/>
      <c r="O184" s="88"/>
    </row>
    <row r="185" spans="1:24" ht="203.25" customHeight="1" thickBot="1">
      <c r="A185" s="1893"/>
      <c r="B185" s="1900"/>
      <c r="C185" s="113" t="s">
        <v>13</v>
      </c>
      <c r="D185" s="139">
        <f>SUM(D178:D184)</f>
        <v>61</v>
      </c>
      <c r="E185" s="116">
        <f>SUM(E178:E184)</f>
        <v>8</v>
      </c>
      <c r="F185" s="116">
        <f>SUM(F178:F184)</f>
        <v>10</v>
      </c>
      <c r="G185" s="220">
        <f t="shared" ref="G185:O185" si="20">SUM(G178:G184)</f>
        <v>79</v>
      </c>
      <c r="H185" s="285">
        <f t="shared" si="20"/>
        <v>101</v>
      </c>
      <c r="I185" s="115">
        <f t="shared" si="20"/>
        <v>79</v>
      </c>
      <c r="J185" s="116">
        <f t="shared" si="20"/>
        <v>0</v>
      </c>
      <c r="K185" s="116">
        <f t="shared" si="20"/>
        <v>0</v>
      </c>
      <c r="L185" s="116">
        <f t="shared" si="20"/>
        <v>0</v>
      </c>
      <c r="M185" s="116">
        <f t="shared" si="20"/>
        <v>0</v>
      </c>
      <c r="N185" s="116">
        <f t="shared" si="20"/>
        <v>0</v>
      </c>
      <c r="O185" s="117">
        <f t="shared" si="20"/>
        <v>0</v>
      </c>
      <c r="Q185" s="2506"/>
      <c r="R185" s="2508"/>
      <c r="S185" s="2508"/>
      <c r="T185" s="2508"/>
      <c r="U185" s="2508"/>
      <c r="V185" s="2508"/>
      <c r="W185" s="2508"/>
      <c r="X185" s="2508"/>
    </row>
    <row r="186" spans="1:24" ht="33" customHeight="1" thickBot="1"/>
    <row r="187" spans="1:24" ht="19.5" customHeight="1">
      <c r="A187" s="1861" t="s">
        <v>137</v>
      </c>
      <c r="B187" s="2380" t="s">
        <v>182</v>
      </c>
      <c r="C187" s="1865" t="s">
        <v>9</v>
      </c>
      <c r="D187" s="1867" t="s">
        <v>138</v>
      </c>
      <c r="E187" s="2381"/>
      <c r="F187" s="2381"/>
      <c r="G187" s="1869"/>
      <c r="H187" s="1870" t="s">
        <v>139</v>
      </c>
      <c r="I187" s="1865"/>
      <c r="J187" s="1865"/>
      <c r="K187" s="1865"/>
      <c r="L187" s="1871"/>
    </row>
    <row r="188" spans="1:24"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24" ht="15" customHeight="1">
      <c r="A189" s="1976" t="s">
        <v>414</v>
      </c>
      <c r="B189" s="1977"/>
      <c r="C189" s="290">
        <v>2014</v>
      </c>
      <c r="D189" s="133"/>
      <c r="E189" s="109"/>
      <c r="F189" s="109"/>
      <c r="G189" s="291">
        <f>SUM(D189:F189)</f>
        <v>0</v>
      </c>
      <c r="H189" s="108"/>
      <c r="I189" s="109"/>
      <c r="J189" s="109"/>
      <c r="K189" s="109"/>
      <c r="L189" s="134"/>
    </row>
    <row r="190" spans="1:24">
      <c r="A190" s="2504"/>
      <c r="B190" s="1855"/>
      <c r="C190" s="73">
        <v>2015</v>
      </c>
      <c r="D190" s="37">
        <v>51</v>
      </c>
      <c r="E190" s="38"/>
      <c r="F190" s="38"/>
      <c r="G190" s="291"/>
      <c r="H190" s="112"/>
      <c r="I190" s="38"/>
      <c r="J190" s="38">
        <v>51</v>
      </c>
      <c r="K190" s="38"/>
      <c r="L190" s="88"/>
    </row>
    <row r="191" spans="1:24">
      <c r="A191" s="2504"/>
      <c r="B191" s="1855"/>
      <c r="C191" s="73">
        <v>2016</v>
      </c>
      <c r="D191" s="37">
        <v>422</v>
      </c>
      <c r="E191" s="38">
        <v>443</v>
      </c>
      <c r="F191" s="38">
        <v>166</v>
      </c>
      <c r="G191" s="291">
        <f t="shared" ref="G191:G195" si="21">SUM(D191:F191)</f>
        <v>1031</v>
      </c>
      <c r="H191" s="457">
        <v>6</v>
      </c>
      <c r="I191" s="339">
        <v>5</v>
      </c>
      <c r="J191" s="339">
        <v>398</v>
      </c>
      <c r="K191" s="339"/>
      <c r="L191" s="340">
        <v>622</v>
      </c>
      <c r="M191">
        <f>SUM(H191:L191)</f>
        <v>1031</v>
      </c>
    </row>
    <row r="192" spans="1:24">
      <c r="A192" s="2504"/>
      <c r="B192" s="1855"/>
      <c r="C192" s="73">
        <v>2017</v>
      </c>
      <c r="D192" s="37">
        <f>SUM(988+40+25+21+65+1+13+92)</f>
        <v>1245</v>
      </c>
      <c r="E192" s="38">
        <v>62</v>
      </c>
      <c r="F192" s="38">
        <f>SUM(50+49+33)</f>
        <v>132</v>
      </c>
      <c r="G192" s="291">
        <f>SUM(D192:F192)</f>
        <v>1439</v>
      </c>
      <c r="H192" s="112"/>
      <c r="I192" s="38">
        <v>6</v>
      </c>
      <c r="J192" s="38">
        <f>SUM(40+15+20+25+65+13+20+30+25)</f>
        <v>253</v>
      </c>
      <c r="K192" s="38"/>
      <c r="L192" s="88">
        <v>1180</v>
      </c>
      <c r="M192">
        <f>SUM(H192:L192)</f>
        <v>1439</v>
      </c>
    </row>
    <row r="193" spans="1:14">
      <c r="A193" s="2504"/>
      <c r="B193" s="1855"/>
      <c r="C193" s="73">
        <v>2018</v>
      </c>
      <c r="D193" s="37"/>
      <c r="E193" s="38"/>
      <c r="F193" s="38"/>
      <c r="G193" s="291">
        <f t="shared" si="21"/>
        <v>0</v>
      </c>
      <c r="H193" s="112"/>
      <c r="I193" s="38"/>
      <c r="J193" s="38"/>
      <c r="K193" s="38"/>
      <c r="L193" s="88"/>
    </row>
    <row r="194" spans="1:14">
      <c r="A194" s="2504"/>
      <c r="B194" s="1855"/>
      <c r="C194" s="73">
        <v>2019</v>
      </c>
      <c r="D194" s="37"/>
      <c r="E194" s="38"/>
      <c r="F194" s="38"/>
      <c r="G194" s="291">
        <f t="shared" si="21"/>
        <v>0</v>
      </c>
      <c r="H194" s="112"/>
      <c r="I194" s="38"/>
      <c r="J194" s="38"/>
      <c r="K194" s="38"/>
      <c r="L194" s="88"/>
    </row>
    <row r="195" spans="1:14">
      <c r="A195" s="2504"/>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1718</v>
      </c>
      <c r="E196" s="116">
        <f t="shared" si="22"/>
        <v>505</v>
      </c>
      <c r="F196" s="116">
        <f t="shared" si="22"/>
        <v>298</v>
      </c>
      <c r="G196" s="292">
        <f t="shared" si="22"/>
        <v>2470</v>
      </c>
      <c r="H196" s="115">
        <f t="shared" si="22"/>
        <v>6</v>
      </c>
      <c r="I196" s="116">
        <f t="shared" si="22"/>
        <v>11</v>
      </c>
      <c r="J196" s="116">
        <f t="shared" si="22"/>
        <v>702</v>
      </c>
      <c r="K196" s="116">
        <f t="shared" si="22"/>
        <v>0</v>
      </c>
      <c r="L196" s="117">
        <f t="shared" si="22"/>
        <v>1802</v>
      </c>
      <c r="M196" s="78">
        <f>SUM(H196:L196)</f>
        <v>2521</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417" t="s">
        <v>182</v>
      </c>
      <c r="C201" s="298" t="s">
        <v>9</v>
      </c>
      <c r="D201" s="299" t="s">
        <v>151</v>
      </c>
      <c r="E201" s="300" t="s">
        <v>152</v>
      </c>
      <c r="F201" s="300" t="s">
        <v>153</v>
      </c>
      <c r="G201" s="298" t="s">
        <v>154</v>
      </c>
      <c r="H201" s="1575" t="s">
        <v>155</v>
      </c>
      <c r="I201" s="302" t="s">
        <v>156</v>
      </c>
      <c r="J201" s="303" t="s">
        <v>157</v>
      </c>
      <c r="K201" s="300" t="s">
        <v>158</v>
      </c>
      <c r="L201" s="304" t="s">
        <v>159</v>
      </c>
    </row>
    <row r="202" spans="1:14" ht="15" customHeight="1">
      <c r="A202" s="2505"/>
      <c r="B202" s="1855"/>
      <c r="C202" s="72">
        <v>2014</v>
      </c>
      <c r="D202" s="30"/>
      <c r="E202" s="31"/>
      <c r="F202" s="31"/>
      <c r="G202" s="29"/>
      <c r="H202" s="305"/>
      <c r="I202" s="306"/>
      <c r="J202" s="307"/>
      <c r="K202" s="31"/>
      <c r="L202" s="34"/>
    </row>
    <row r="203" spans="1:14">
      <c r="A203" s="2505"/>
      <c r="B203" s="1855"/>
      <c r="C203" s="73">
        <v>2015</v>
      </c>
      <c r="D203" s="37"/>
      <c r="E203" s="38"/>
      <c r="F203" s="38"/>
      <c r="G203" s="36"/>
      <c r="H203" s="308"/>
      <c r="I203" s="309"/>
      <c r="J203" s="310"/>
      <c r="K203" s="38"/>
      <c r="L203" s="88"/>
    </row>
    <row r="204" spans="1:14">
      <c r="A204" s="2505"/>
      <c r="B204" s="1855"/>
      <c r="C204" s="73">
        <v>2016</v>
      </c>
      <c r="D204" s="37">
        <v>0</v>
      </c>
      <c r="E204" s="38"/>
      <c r="F204" s="38"/>
      <c r="G204" s="36"/>
      <c r="H204" s="308"/>
      <c r="I204" s="309">
        <v>0</v>
      </c>
      <c r="J204" s="310"/>
      <c r="K204" s="38"/>
      <c r="L204" s="88"/>
    </row>
    <row r="205" spans="1:14">
      <c r="A205" s="2505"/>
      <c r="B205" s="1855"/>
      <c r="C205" s="73">
        <v>2017</v>
      </c>
      <c r="D205" s="37"/>
      <c r="E205" s="38"/>
      <c r="F205" s="38"/>
      <c r="G205" s="36"/>
      <c r="H205" s="308"/>
      <c r="I205" s="309"/>
      <c r="J205" s="310"/>
      <c r="K205" s="38"/>
      <c r="L205" s="88"/>
    </row>
    <row r="206" spans="1:14">
      <c r="A206" s="2505"/>
      <c r="B206" s="1855"/>
      <c r="C206" s="73">
        <v>2018</v>
      </c>
      <c r="D206" s="37"/>
      <c r="E206" s="38"/>
      <c r="F206" s="38"/>
      <c r="G206" s="36"/>
      <c r="H206" s="308"/>
      <c r="I206" s="309"/>
      <c r="J206" s="310"/>
      <c r="K206" s="38"/>
      <c r="L206" s="88"/>
    </row>
    <row r="207" spans="1:14">
      <c r="A207" s="2505"/>
      <c r="B207" s="1855"/>
      <c r="C207" s="73">
        <v>2019</v>
      </c>
      <c r="D207" s="37"/>
      <c r="E207" s="38"/>
      <c r="F207" s="38"/>
      <c r="G207" s="36"/>
      <c r="H207" s="308"/>
      <c r="I207" s="309"/>
      <c r="J207" s="310"/>
      <c r="K207" s="38"/>
      <c r="L207" s="88"/>
    </row>
    <row r="208" spans="1:14">
      <c r="A208" s="2505"/>
      <c r="B208" s="1855"/>
      <c r="C208" s="73">
        <v>2020</v>
      </c>
      <c r="D208" s="1533"/>
      <c r="E208" s="312"/>
      <c r="F208" s="312"/>
      <c r="G208" s="313"/>
      <c r="H208" s="314"/>
      <c r="I208" s="315"/>
      <c r="J208" s="316"/>
      <c r="K208" s="312"/>
      <c r="L208" s="317"/>
    </row>
    <row r="209" spans="1:13"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3" ht="15.75" thickBot="1"/>
    <row r="212" spans="1:13" ht="29.25">
      <c r="A212" s="1576" t="s">
        <v>161</v>
      </c>
      <c r="B212" s="322" t="s">
        <v>162</v>
      </c>
      <c r="C212" s="323">
        <v>2014</v>
      </c>
      <c r="D212" s="324">
        <v>2015</v>
      </c>
      <c r="E212" s="324">
        <v>2016</v>
      </c>
      <c r="F212" s="324">
        <v>2017</v>
      </c>
      <c r="G212" s="324">
        <v>2018</v>
      </c>
      <c r="H212" s="324">
        <v>2019</v>
      </c>
      <c r="I212" s="325">
        <v>2020</v>
      </c>
      <c r="K212" s="71"/>
    </row>
    <row r="213" spans="1:13" ht="15" customHeight="1">
      <c r="A213" t="s">
        <v>163</v>
      </c>
      <c r="B213" s="1973" t="s">
        <v>415</v>
      </c>
      <c r="C213" s="72"/>
      <c r="D213" s="605">
        <v>20304.68</v>
      </c>
      <c r="E213" s="1577">
        <f>SUM(E214:E217)</f>
        <v>1303839.32</v>
      </c>
      <c r="F213" s="605">
        <f>SUM(F214:F217)</f>
        <v>726515.84000000008</v>
      </c>
      <c r="G213" s="1578"/>
      <c r="H213" s="1578"/>
      <c r="I213" s="1579"/>
      <c r="J213" s="327"/>
      <c r="L213" s="1580"/>
      <c r="M213" s="327"/>
    </row>
    <row r="214" spans="1:13">
      <c r="A214" t="s">
        <v>164</v>
      </c>
      <c r="B214" s="1974"/>
      <c r="C214" s="72"/>
      <c r="D214" s="572">
        <v>20304.68</v>
      </c>
      <c r="E214" s="328">
        <v>740470.42</v>
      </c>
      <c r="F214" s="328">
        <f>SUM(27155.55+96603.27+12169.2+88662)</f>
        <v>224590.02000000002</v>
      </c>
      <c r="G214" s="135"/>
      <c r="H214" s="135"/>
      <c r="I214" s="326"/>
      <c r="J214" s="160"/>
    </row>
    <row r="215" spans="1:13">
      <c r="A215" t="s">
        <v>165</v>
      </c>
      <c r="B215" s="1974"/>
      <c r="C215" s="72"/>
      <c r="D215" s="328"/>
      <c r="E215" s="328">
        <v>0</v>
      </c>
      <c r="F215" s="328">
        <v>0</v>
      </c>
      <c r="G215" s="135"/>
      <c r="H215" s="135"/>
      <c r="I215" s="326"/>
      <c r="J215" s="327"/>
    </row>
    <row r="216" spans="1:13">
      <c r="A216" t="s">
        <v>166</v>
      </c>
      <c r="B216" s="1974"/>
      <c r="C216" s="72"/>
      <c r="D216" s="328"/>
      <c r="E216" s="328">
        <v>12011.25</v>
      </c>
      <c r="F216" s="328">
        <f>SUM(11317.48+166022.08+10947)</f>
        <v>188286.56</v>
      </c>
      <c r="G216" s="135"/>
      <c r="H216" s="135"/>
      <c r="I216" s="326"/>
      <c r="K216" s="2506"/>
    </row>
    <row r="217" spans="1:13">
      <c r="A217" t="s">
        <v>167</v>
      </c>
      <c r="B217" s="1974"/>
      <c r="C217" s="72"/>
      <c r="D217" s="328"/>
      <c r="E217" s="328">
        <v>551357.65</v>
      </c>
      <c r="F217" s="328">
        <f>SUM(10981.1+10395.99+114639.24+24847.56+73753.12+24772+15680.59+8548.64+25853.07+4167.95)</f>
        <v>313639.26000000007</v>
      </c>
      <c r="G217" s="135"/>
      <c r="H217" s="135"/>
      <c r="I217" s="326"/>
      <c r="J217" s="327"/>
      <c r="K217" s="2506"/>
    </row>
    <row r="218" spans="1:13" ht="30.75" thickBot="1">
      <c r="A218" s="56" t="s">
        <v>168</v>
      </c>
      <c r="B218" s="1974"/>
      <c r="C218" s="72"/>
      <c r="D218" s="328">
        <v>98244.2</v>
      </c>
      <c r="E218" s="605">
        <v>489921.88</v>
      </c>
      <c r="F218" s="605">
        <v>1102563.99</v>
      </c>
      <c r="G218" s="461"/>
      <c r="H218" s="461"/>
      <c r="I218" s="1581"/>
      <c r="K218" s="2506"/>
    </row>
    <row r="219" spans="1:13" ht="235.5" customHeight="1" thickBot="1">
      <c r="A219" s="1582" t="s">
        <v>416</v>
      </c>
      <c r="B219" s="2062"/>
      <c r="C219" s="42" t="s">
        <v>13</v>
      </c>
      <c r="D219" s="332">
        <f>SUM(D214:D218)</f>
        <v>118548.88</v>
      </c>
      <c r="E219" s="1583">
        <f t="shared" ref="E219:I219" si="24">SUM(E214:E218)</f>
        <v>1793761.2000000002</v>
      </c>
      <c r="F219" s="332">
        <f>SUM(F214:F218)</f>
        <v>1829079.83</v>
      </c>
      <c r="G219" s="333">
        <f t="shared" si="24"/>
        <v>0</v>
      </c>
      <c r="H219" s="333">
        <f t="shared" si="24"/>
        <v>0</v>
      </c>
      <c r="I219" s="333">
        <f t="shared" si="24"/>
        <v>0</v>
      </c>
      <c r="J219" s="327"/>
      <c r="K219" s="2506"/>
    </row>
    <row r="220" spans="1:13">
      <c r="E220" s="599"/>
    </row>
    <row r="221" spans="1:13">
      <c r="E221" s="327"/>
    </row>
    <row r="223" spans="1:13">
      <c r="A223" s="56"/>
      <c r="E223" s="327"/>
    </row>
    <row r="227" spans="1:13">
      <c r="A227" s="56"/>
      <c r="F227" s="2507"/>
      <c r="G227" s="2507"/>
      <c r="H227" s="2507"/>
      <c r="I227" s="2507"/>
      <c r="J227" s="2507"/>
      <c r="K227" s="2507"/>
      <c r="L227" s="2507"/>
      <c r="M227" s="2507"/>
    </row>
    <row r="228" spans="1:13">
      <c r="F228" s="2507"/>
      <c r="G228" s="2507"/>
      <c r="H228" s="2507"/>
      <c r="I228" s="2507"/>
      <c r="J228" s="2507"/>
      <c r="K228" s="2507"/>
      <c r="L228" s="2507"/>
      <c r="M228" s="2507"/>
    </row>
  </sheetData>
  <mergeCells count="59">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A165:B172"/>
    <mergeCell ref="A176:A177"/>
    <mergeCell ref="B176:B177"/>
    <mergeCell ref="C176:C177"/>
    <mergeCell ref="I176:O176"/>
    <mergeCell ref="Q185:X185"/>
    <mergeCell ref="A187:A188"/>
    <mergeCell ref="B187:B188"/>
    <mergeCell ref="C187:C188"/>
    <mergeCell ref="D187:G187"/>
    <mergeCell ref="H187:L187"/>
    <mergeCell ref="A178:B185"/>
    <mergeCell ref="A189:B196"/>
    <mergeCell ref="A202:B209"/>
    <mergeCell ref="B213:B219"/>
    <mergeCell ref="K216:K219"/>
    <mergeCell ref="F227:M22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4" zoomScale="60" zoomScaleNormal="60" workbookViewId="0">
      <selection activeCell="F219" sqref="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417</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586"/>
      <c r="B15" s="1587"/>
      <c r="C15" s="10"/>
      <c r="D15" s="1953" t="s">
        <v>5</v>
      </c>
      <c r="E15" s="2422"/>
      <c r="F15" s="2422"/>
      <c r="G15" s="242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552"/>
      <c r="B17" s="2565" t="s">
        <v>418</v>
      </c>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553"/>
      <c r="B18" s="2566"/>
      <c r="C18" s="36">
        <v>2015</v>
      </c>
      <c r="D18" s="37">
        <v>2</v>
      </c>
      <c r="E18" s="38"/>
      <c r="F18" s="38"/>
      <c r="G18" s="32">
        <f>SUM(D18:F18)</f>
        <v>2</v>
      </c>
      <c r="H18" s="39">
        <v>2</v>
      </c>
      <c r="I18" s="38"/>
      <c r="J18" s="38"/>
      <c r="K18" s="38"/>
      <c r="L18" s="38"/>
      <c r="M18" s="38"/>
      <c r="N18" s="38"/>
      <c r="O18" s="40"/>
      <c r="P18" s="35"/>
      <c r="Q18" s="35"/>
      <c r="R18" s="35"/>
      <c r="S18" s="35"/>
      <c r="T18" s="35"/>
      <c r="U18" s="35"/>
      <c r="V18" s="35"/>
      <c r="W18" s="35"/>
      <c r="X18" s="35"/>
      <c r="Y18" s="35"/>
    </row>
    <row r="19" spans="1:25">
      <c r="A19" s="2553"/>
      <c r="B19" s="2566"/>
      <c r="C19" s="36">
        <v>2016</v>
      </c>
      <c r="D19" s="37">
        <v>8</v>
      </c>
      <c r="E19" s="38"/>
      <c r="F19" s="38"/>
      <c r="G19" s="32">
        <f t="shared" si="0"/>
        <v>8</v>
      </c>
      <c r="H19" s="39">
        <v>8</v>
      </c>
      <c r="I19" s="38"/>
      <c r="J19" s="38"/>
      <c r="K19" s="38"/>
      <c r="L19" s="38"/>
      <c r="M19" s="38"/>
      <c r="N19" s="38"/>
      <c r="O19" s="40"/>
      <c r="P19" s="35"/>
      <c r="Q19" s="35"/>
      <c r="R19" s="35"/>
      <c r="S19" s="35"/>
      <c r="T19" s="35"/>
      <c r="U19" s="35"/>
      <c r="V19" s="35"/>
      <c r="W19" s="35"/>
      <c r="X19" s="35"/>
      <c r="Y19" s="35"/>
    </row>
    <row r="20" spans="1:25">
      <c r="A20" s="2553"/>
      <c r="B20" s="2566"/>
      <c r="C20" s="41">
        <v>2017</v>
      </c>
      <c r="D20" s="90">
        <f>2+22</f>
        <v>24</v>
      </c>
      <c r="E20" s="91"/>
      <c r="F20" s="91">
        <v>1</v>
      </c>
      <c r="G20" s="1588">
        <f t="shared" si="0"/>
        <v>25</v>
      </c>
      <c r="H20" s="1589">
        <f>3+22</f>
        <v>25</v>
      </c>
      <c r="I20" s="38"/>
      <c r="J20" s="38"/>
      <c r="K20" s="38"/>
      <c r="L20" s="38"/>
      <c r="M20" s="38"/>
      <c r="N20" s="38"/>
      <c r="O20" s="40"/>
      <c r="P20" s="35"/>
      <c r="Q20" s="35"/>
      <c r="R20" s="35"/>
      <c r="S20" s="35"/>
      <c r="T20" s="35"/>
      <c r="U20" s="35"/>
      <c r="V20" s="35"/>
      <c r="W20" s="35"/>
      <c r="X20" s="35"/>
      <c r="Y20" s="35"/>
    </row>
    <row r="21" spans="1:25">
      <c r="A21" s="2553"/>
      <c r="B21" s="2566"/>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553"/>
      <c r="B22" s="2566"/>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553"/>
      <c r="B23" s="2566"/>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97.5" customHeight="1" thickBot="1">
      <c r="A24" s="2554"/>
      <c r="B24" s="2567"/>
      <c r="C24" s="42" t="s">
        <v>13</v>
      </c>
      <c r="D24" s="43">
        <f>SUM(D17:D23)</f>
        <v>34</v>
      </c>
      <c r="E24" s="44">
        <f>SUM(E17:E23)</f>
        <v>0</v>
      </c>
      <c r="F24" s="44">
        <f>SUM(F17:F23)</f>
        <v>1</v>
      </c>
      <c r="G24" s="45">
        <f>SUM(D24:F24)</f>
        <v>35</v>
      </c>
      <c r="H24" s="46">
        <f>SUM(H17:H23)</f>
        <v>35</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586"/>
      <c r="B26" s="1587"/>
      <c r="C26" s="50"/>
      <c r="D26" s="1959" t="s">
        <v>5</v>
      </c>
      <c r="E26" s="2424"/>
      <c r="F26" s="2424"/>
      <c r="G26" s="2425"/>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552"/>
      <c r="B28" s="2565" t="s">
        <v>419</v>
      </c>
      <c r="C28" s="57">
        <v>2014</v>
      </c>
      <c r="D28" s="33"/>
      <c r="E28" s="31"/>
      <c r="F28" s="31"/>
      <c r="G28" s="58">
        <f>SUM(D28:F28)</f>
        <v>0</v>
      </c>
      <c r="H28" s="35"/>
      <c r="I28" s="35"/>
      <c r="J28" s="35"/>
      <c r="K28" s="35"/>
      <c r="L28" s="35"/>
      <c r="M28" s="35"/>
      <c r="N28" s="35"/>
      <c r="O28" s="35"/>
      <c r="P28" s="35"/>
      <c r="Q28" s="7"/>
    </row>
    <row r="29" spans="1:25">
      <c r="A29" s="2553"/>
      <c r="B29" s="2566"/>
      <c r="C29" s="59">
        <v>2015</v>
      </c>
      <c r="D29" s="39">
        <v>60</v>
      </c>
      <c r="E29" s="38"/>
      <c r="F29" s="38"/>
      <c r="G29" s="58">
        <f t="shared" ref="G29:G35" si="2">SUM(D29:F29)</f>
        <v>60</v>
      </c>
      <c r="H29" s="35"/>
      <c r="I29" s="35"/>
      <c r="J29" s="35"/>
      <c r="K29" s="35"/>
      <c r="L29" s="35"/>
      <c r="M29" s="35"/>
      <c r="N29" s="35"/>
      <c r="O29" s="35"/>
      <c r="P29" s="35"/>
      <c r="Q29" s="7"/>
    </row>
    <row r="30" spans="1:25">
      <c r="A30" s="2553"/>
      <c r="B30" s="2566"/>
      <c r="C30" s="59">
        <v>2016</v>
      </c>
      <c r="D30" s="433">
        <v>2500</v>
      </c>
      <c r="E30" s="38"/>
      <c r="F30" s="38"/>
      <c r="G30" s="434">
        <f t="shared" si="2"/>
        <v>2500</v>
      </c>
      <c r="H30" s="35"/>
      <c r="I30" s="35"/>
      <c r="J30" s="35"/>
      <c r="K30" s="35"/>
      <c r="L30" s="35"/>
      <c r="M30" s="35"/>
      <c r="N30" s="35"/>
      <c r="O30" s="35"/>
      <c r="P30" s="35"/>
      <c r="Q30" s="7"/>
    </row>
    <row r="31" spans="1:25">
      <c r="A31" s="2553"/>
      <c r="B31" s="2566"/>
      <c r="C31" s="60">
        <v>2017</v>
      </c>
      <c r="D31" s="524">
        <f>99+8002</f>
        <v>8101</v>
      </c>
      <c r="E31" s="92"/>
      <c r="F31" s="92">
        <v>500</v>
      </c>
      <c r="G31" s="434">
        <f t="shared" si="2"/>
        <v>8601</v>
      </c>
      <c r="H31" s="35"/>
      <c r="I31" s="35"/>
      <c r="J31" s="35"/>
      <c r="K31" s="35"/>
      <c r="L31" s="35"/>
      <c r="M31" s="35"/>
      <c r="N31" s="35"/>
      <c r="O31" s="35"/>
      <c r="P31" s="35"/>
      <c r="Q31" s="7"/>
    </row>
    <row r="32" spans="1:25">
      <c r="A32" s="2553"/>
      <c r="B32" s="2566"/>
      <c r="C32" s="59">
        <v>2018</v>
      </c>
      <c r="D32" s="39"/>
      <c r="E32" s="38"/>
      <c r="F32" s="38"/>
      <c r="G32" s="58">
        <f>SUM(D32:F32)</f>
        <v>0</v>
      </c>
      <c r="H32" s="35"/>
      <c r="I32" s="35"/>
      <c r="J32" s="35"/>
      <c r="K32" s="35"/>
      <c r="L32" s="35"/>
      <c r="M32" s="35"/>
      <c r="N32" s="35"/>
      <c r="O32" s="35"/>
      <c r="P32" s="35"/>
      <c r="Q32" s="7"/>
    </row>
    <row r="33" spans="1:17">
      <c r="A33" s="2553"/>
      <c r="B33" s="2566"/>
      <c r="C33" s="60">
        <v>2019</v>
      </c>
      <c r="D33" s="39"/>
      <c r="E33" s="38"/>
      <c r="F33" s="38"/>
      <c r="G33" s="58">
        <f t="shared" si="2"/>
        <v>0</v>
      </c>
      <c r="H33" s="35"/>
      <c r="I33" s="35"/>
      <c r="J33" s="35"/>
      <c r="K33" s="35"/>
      <c r="L33" s="35"/>
      <c r="M33" s="35"/>
      <c r="N33" s="35"/>
      <c r="O33" s="35"/>
      <c r="P33" s="35"/>
      <c r="Q33" s="7"/>
    </row>
    <row r="34" spans="1:17">
      <c r="A34" s="2553"/>
      <c r="B34" s="2566"/>
      <c r="C34" s="59">
        <v>2020</v>
      </c>
      <c r="D34" s="39"/>
      <c r="E34" s="38"/>
      <c r="F34" s="38"/>
      <c r="G34" s="58">
        <f t="shared" si="2"/>
        <v>0</v>
      </c>
      <c r="H34" s="35"/>
      <c r="I34" s="35"/>
      <c r="J34" s="35"/>
      <c r="K34" s="35"/>
      <c r="L34" s="35"/>
      <c r="M34" s="35"/>
      <c r="N34" s="35"/>
      <c r="O34" s="35"/>
      <c r="P34" s="35"/>
      <c r="Q34" s="7"/>
    </row>
    <row r="35" spans="1:17" ht="78" customHeight="1" thickBot="1">
      <c r="A35" s="2554"/>
      <c r="B35" s="2567"/>
      <c r="C35" s="61" t="s">
        <v>13</v>
      </c>
      <c r="D35" s="435">
        <f>SUM(D28:D34)</f>
        <v>10661</v>
      </c>
      <c r="E35" s="94">
        <f>SUM(E28:E34)</f>
        <v>0</v>
      </c>
      <c r="F35" s="94">
        <f>SUM(F28:F34)</f>
        <v>500</v>
      </c>
      <c r="G35" s="436">
        <f t="shared" si="2"/>
        <v>11161</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544" t="s">
        <v>26</v>
      </c>
      <c r="B39" s="1545" t="s">
        <v>171</v>
      </c>
      <c r="C39" s="68" t="s">
        <v>9</v>
      </c>
      <c r="D39" s="69" t="s">
        <v>28</v>
      </c>
      <c r="E39" s="70" t="s">
        <v>29</v>
      </c>
      <c r="F39" s="71"/>
      <c r="G39" s="28"/>
      <c r="H39" s="28"/>
    </row>
    <row r="40" spans="1:17">
      <c r="A40" s="2552"/>
      <c r="B40" s="2536" t="s">
        <v>420</v>
      </c>
      <c r="C40" s="72">
        <v>2014</v>
      </c>
      <c r="D40" s="30"/>
      <c r="E40" s="29"/>
      <c r="F40" s="7"/>
      <c r="G40" s="35"/>
      <c r="H40" s="35"/>
    </row>
    <row r="41" spans="1:17">
      <c r="A41" s="2553"/>
      <c r="B41" s="2555"/>
      <c r="C41" s="73">
        <v>2015</v>
      </c>
      <c r="D41" s="1590">
        <v>14349</v>
      </c>
      <c r="E41" s="1591">
        <v>82434</v>
      </c>
      <c r="F41" s="7" t="s">
        <v>421</v>
      </c>
      <c r="G41" s="35"/>
      <c r="H41" s="35"/>
    </row>
    <row r="42" spans="1:17">
      <c r="A42" s="2553"/>
      <c r="B42" s="2555"/>
      <c r="C42" s="73">
        <v>2016</v>
      </c>
      <c r="D42" s="1590">
        <v>175942</v>
      </c>
      <c r="E42" s="1592">
        <v>83198</v>
      </c>
      <c r="F42" s="7" t="s">
        <v>421</v>
      </c>
      <c r="G42" s="35"/>
      <c r="H42" s="35"/>
    </row>
    <row r="43" spans="1:17">
      <c r="A43" s="2553"/>
      <c r="B43" s="2555"/>
      <c r="C43" s="1593">
        <v>2017</v>
      </c>
      <c r="D43" s="1594">
        <v>166027</v>
      </c>
      <c r="E43" s="1592">
        <v>67871</v>
      </c>
      <c r="F43" s="7" t="s">
        <v>421</v>
      </c>
      <c r="G43" s="35"/>
      <c r="H43" s="35"/>
    </row>
    <row r="44" spans="1:17">
      <c r="A44" s="2553"/>
      <c r="B44" s="2555"/>
      <c r="C44" s="73">
        <v>2018</v>
      </c>
      <c r="D44" s="37"/>
      <c r="E44" s="36"/>
      <c r="F44" s="7"/>
      <c r="G44" s="35"/>
      <c r="H44" s="35"/>
    </row>
    <row r="45" spans="1:17">
      <c r="A45" s="2553"/>
      <c r="B45" s="2555"/>
      <c r="C45" s="73">
        <v>2019</v>
      </c>
      <c r="D45" s="37"/>
      <c r="E45" s="36"/>
      <c r="F45" s="7"/>
      <c r="G45" s="35"/>
      <c r="H45" s="35"/>
    </row>
    <row r="46" spans="1:17">
      <c r="A46" s="2553"/>
      <c r="B46" s="2555"/>
      <c r="C46" s="73">
        <v>2020</v>
      </c>
      <c r="D46" s="37"/>
      <c r="E46" s="36"/>
      <c r="F46" s="7"/>
      <c r="G46" s="35"/>
      <c r="H46" s="35"/>
    </row>
    <row r="47" spans="1:17" ht="15.75" thickBot="1">
      <c r="A47" s="2554"/>
      <c r="B47" s="2556"/>
      <c r="C47" s="42" t="s">
        <v>13</v>
      </c>
      <c r="D47" s="76">
        <f>SUM(D40:D46)</f>
        <v>356318</v>
      </c>
      <c r="E47" s="77">
        <f>SUM(E40:E46)</f>
        <v>233503</v>
      </c>
      <c r="F47" s="78"/>
      <c r="G47" s="35"/>
      <c r="H47" s="35"/>
    </row>
    <row r="48" spans="1:17" s="35" customFormat="1" ht="15.75" thickBot="1">
      <c r="A48" s="1595"/>
      <c r="B48" s="80"/>
      <c r="C48" s="81"/>
    </row>
    <row r="49" spans="1:15" ht="83.25" customHeight="1">
      <c r="A49" s="82" t="s">
        <v>32</v>
      </c>
      <c r="B49" s="1545" t="s">
        <v>171</v>
      </c>
      <c r="C49" s="84" t="s">
        <v>9</v>
      </c>
      <c r="D49" s="69" t="s">
        <v>34</v>
      </c>
      <c r="E49" s="85" t="s">
        <v>35</v>
      </c>
      <c r="F49" s="85" t="s">
        <v>36</v>
      </c>
      <c r="G49" s="85" t="s">
        <v>422</v>
      </c>
      <c r="H49" s="85" t="s">
        <v>38</v>
      </c>
      <c r="I49" s="85" t="s">
        <v>39</v>
      </c>
      <c r="J49" s="85" t="s">
        <v>423</v>
      </c>
      <c r="K49" s="86" t="s">
        <v>41</v>
      </c>
    </row>
    <row r="50" spans="1:15" ht="17.25" customHeight="1">
      <c r="A50" s="2552"/>
      <c r="B50" s="2536" t="s">
        <v>424</v>
      </c>
      <c r="C50" s="87" t="s">
        <v>43</v>
      </c>
      <c r="D50" s="30"/>
      <c r="E50" s="31"/>
      <c r="F50" s="31"/>
      <c r="G50" s="31"/>
      <c r="H50" s="31"/>
      <c r="I50" s="31"/>
      <c r="J50" s="31"/>
      <c r="K50" s="34"/>
    </row>
    <row r="51" spans="1:15" ht="15" customHeight="1">
      <c r="A51" s="2553"/>
      <c r="B51" s="2555"/>
      <c r="C51" s="73">
        <v>2014</v>
      </c>
      <c r="D51" s="37"/>
      <c r="E51" s="38"/>
      <c r="F51" s="38"/>
      <c r="G51" s="38"/>
      <c r="H51" s="38"/>
      <c r="I51" s="38"/>
      <c r="J51" s="38"/>
      <c r="K51" s="88"/>
    </row>
    <row r="52" spans="1:15">
      <c r="A52" s="2553"/>
      <c r="B52" s="2555"/>
      <c r="C52" s="73">
        <v>2015</v>
      </c>
      <c r="D52" s="37"/>
      <c r="E52" s="38"/>
      <c r="F52" s="38"/>
      <c r="G52" s="38"/>
      <c r="H52" s="38"/>
      <c r="I52" s="38"/>
      <c r="J52" s="38"/>
      <c r="K52" s="88"/>
    </row>
    <row r="53" spans="1:15">
      <c r="A53" s="2553"/>
      <c r="B53" s="2555"/>
      <c r="C53" s="73">
        <v>2016</v>
      </c>
      <c r="D53" s="37"/>
      <c r="E53" s="38"/>
      <c r="F53" s="38"/>
      <c r="G53" s="38"/>
      <c r="H53" s="38"/>
      <c r="I53" s="38"/>
      <c r="J53" s="38"/>
      <c r="K53" s="88"/>
    </row>
    <row r="54" spans="1:15">
      <c r="A54" s="2553"/>
      <c r="B54" s="2555"/>
      <c r="C54" s="1596">
        <v>2017</v>
      </c>
      <c r="D54" s="1597">
        <v>1</v>
      </c>
      <c r="E54" s="91"/>
      <c r="F54" s="91"/>
      <c r="G54" s="91">
        <v>152</v>
      </c>
      <c r="H54" s="91"/>
      <c r="I54" s="91"/>
      <c r="J54" s="91">
        <f>25+9</f>
        <v>34</v>
      </c>
      <c r="K54" s="603"/>
    </row>
    <row r="55" spans="1:15">
      <c r="A55" s="2553"/>
      <c r="B55" s="2555"/>
      <c r="C55" s="73">
        <v>2018</v>
      </c>
      <c r="D55" s="37"/>
      <c r="E55" s="38"/>
      <c r="F55" s="38"/>
      <c r="G55" s="38"/>
      <c r="H55" s="38"/>
      <c r="I55" s="38"/>
      <c r="J55" s="38"/>
      <c r="K55" s="88"/>
    </row>
    <row r="56" spans="1:15">
      <c r="A56" s="2553"/>
      <c r="B56" s="2555"/>
      <c r="C56" s="73">
        <v>2019</v>
      </c>
      <c r="D56" s="37"/>
      <c r="E56" s="38"/>
      <c r="F56" s="38"/>
      <c r="G56" s="38"/>
      <c r="H56" s="38"/>
      <c r="I56" s="38"/>
      <c r="J56" s="38"/>
      <c r="K56" s="88"/>
    </row>
    <row r="57" spans="1:15">
      <c r="A57" s="2553"/>
      <c r="B57" s="2555"/>
      <c r="C57" s="73">
        <v>2020</v>
      </c>
      <c r="D57" s="37"/>
      <c r="E57" s="38"/>
      <c r="F57" s="38"/>
      <c r="G57" s="38"/>
      <c r="H57" s="38"/>
      <c r="I57" s="38"/>
      <c r="J57" s="38"/>
      <c r="K57" s="93"/>
    </row>
    <row r="58" spans="1:15" ht="26.25" customHeight="1" thickBot="1">
      <c r="A58" s="2554"/>
      <c r="B58" s="2556"/>
      <c r="C58" s="42" t="s">
        <v>13</v>
      </c>
      <c r="D58" s="43">
        <f>SUM(D51:D57)</f>
        <v>1</v>
      </c>
      <c r="E58" s="44">
        <f>SUM(E51:E57)</f>
        <v>0</v>
      </c>
      <c r="F58" s="44">
        <f>SUM(F51:F57)</f>
        <v>0</v>
      </c>
      <c r="G58" s="44">
        <f>SUM(G51:G57)</f>
        <v>152</v>
      </c>
      <c r="H58" s="44">
        <f>SUM(H51:H57)</f>
        <v>0</v>
      </c>
      <c r="I58" s="44">
        <f t="shared" ref="I58" si="3">SUM(I51:I57)</f>
        <v>0</v>
      </c>
      <c r="J58" s="44">
        <f>SUM(J51:J57)</f>
        <v>34</v>
      </c>
      <c r="K58" s="48">
        <f>SUM(K50:K56)</f>
        <v>0</v>
      </c>
    </row>
    <row r="59" spans="1:15" ht="15.75" thickBot="1"/>
    <row r="60" spans="1:15" ht="21" customHeight="1">
      <c r="A60" s="2427" t="s">
        <v>44</v>
      </c>
      <c r="B60" s="2560" t="s">
        <v>171</v>
      </c>
      <c r="C60" s="2429" t="s">
        <v>9</v>
      </c>
      <c r="D60" s="2417" t="s">
        <v>45</v>
      </c>
      <c r="E60" s="96" t="s">
        <v>6</v>
      </c>
      <c r="F60" s="1542"/>
      <c r="G60" s="1542"/>
      <c r="H60" s="1542"/>
      <c r="I60" s="1542"/>
      <c r="J60" s="1542"/>
      <c r="K60" s="1542"/>
      <c r="L60" s="1543"/>
    </row>
    <row r="61" spans="1:15" ht="115.5" customHeight="1">
      <c r="A61" s="1970"/>
      <c r="B61" s="2561"/>
      <c r="C61" s="1972"/>
      <c r="D61" s="1942"/>
      <c r="E61" s="100" t="s">
        <v>14</v>
      </c>
      <c r="F61" s="101" t="s">
        <v>15</v>
      </c>
      <c r="G61" s="101" t="s">
        <v>16</v>
      </c>
      <c r="H61" s="102" t="s">
        <v>17</v>
      </c>
      <c r="I61" s="102" t="s">
        <v>18</v>
      </c>
      <c r="J61" s="103" t="s">
        <v>19</v>
      </c>
      <c r="K61" s="101" t="s">
        <v>20</v>
      </c>
      <c r="L61" s="104" t="s">
        <v>21</v>
      </c>
      <c r="M61" s="105"/>
      <c r="N61" s="7"/>
      <c r="O61" s="7"/>
    </row>
    <row r="62" spans="1:15" ht="15" customHeight="1">
      <c r="A62" s="2562"/>
      <c r="B62" s="2536" t="s">
        <v>425</v>
      </c>
      <c r="C62" s="106">
        <v>2014</v>
      </c>
      <c r="D62" s="107"/>
      <c r="E62" s="108"/>
      <c r="F62" s="109"/>
      <c r="G62" s="109"/>
      <c r="H62" s="109"/>
      <c r="I62" s="109"/>
      <c r="J62" s="109"/>
      <c r="K62" s="109"/>
      <c r="L62" s="34"/>
      <c r="M62" s="7"/>
      <c r="N62" s="7"/>
      <c r="O62" s="7"/>
    </row>
    <row r="63" spans="1:15">
      <c r="A63" s="2563"/>
      <c r="B63" s="2564"/>
      <c r="C63" s="110">
        <v>2015</v>
      </c>
      <c r="D63" s="111">
        <v>2</v>
      </c>
      <c r="E63" s="112">
        <v>2</v>
      </c>
      <c r="F63" s="38"/>
      <c r="G63" s="38"/>
      <c r="H63" s="38"/>
      <c r="I63" s="38"/>
      <c r="J63" s="38"/>
      <c r="K63" s="38"/>
      <c r="L63" s="88"/>
      <c r="M63" s="7"/>
      <c r="N63" s="7"/>
      <c r="O63" s="7"/>
    </row>
    <row r="64" spans="1:15">
      <c r="A64" s="2563"/>
      <c r="B64" s="2564"/>
      <c r="C64" s="110">
        <v>2016</v>
      </c>
      <c r="D64" s="111">
        <v>19</v>
      </c>
      <c r="E64" s="112">
        <v>19</v>
      </c>
      <c r="F64" s="38"/>
      <c r="G64" s="38"/>
      <c r="H64" s="38"/>
      <c r="I64" s="38"/>
      <c r="J64" s="38"/>
      <c r="K64" s="38"/>
      <c r="L64" s="88"/>
      <c r="M64" s="7"/>
      <c r="N64" s="7"/>
      <c r="O64" s="7"/>
    </row>
    <row r="65" spans="1:20">
      <c r="A65" s="2563"/>
      <c r="B65" s="2564"/>
      <c r="C65" s="479">
        <v>2017</v>
      </c>
      <c r="D65" s="1598">
        <f>29+12+1+1+1+1+1</f>
        <v>46</v>
      </c>
      <c r="E65" s="600">
        <f>29+12+1+1+1+1+1</f>
        <v>46</v>
      </c>
      <c r="F65" s="91"/>
      <c r="G65" s="91"/>
      <c r="H65" s="91"/>
      <c r="I65" s="91"/>
      <c r="J65" s="91"/>
      <c r="K65" s="91"/>
      <c r="L65" s="603"/>
      <c r="M65" s="7"/>
      <c r="N65" s="7"/>
      <c r="O65" s="7"/>
    </row>
    <row r="66" spans="1:20">
      <c r="A66" s="2563"/>
      <c r="B66" s="2564"/>
      <c r="C66" s="110">
        <v>2018</v>
      </c>
      <c r="D66" s="111"/>
      <c r="E66" s="112"/>
      <c r="F66" s="38"/>
      <c r="G66" s="38"/>
      <c r="H66" s="38"/>
      <c r="I66" s="38"/>
      <c r="J66" s="38"/>
      <c r="K66" s="38"/>
      <c r="L66" s="88"/>
      <c r="M66" s="7"/>
      <c r="N66" s="7"/>
      <c r="O66" s="7"/>
    </row>
    <row r="67" spans="1:20" ht="17.25" customHeight="1">
      <c r="A67" s="2563"/>
      <c r="B67" s="2564"/>
      <c r="C67" s="110">
        <v>2019</v>
      </c>
      <c r="D67" s="111"/>
      <c r="E67" s="112"/>
      <c r="F67" s="38"/>
      <c r="G67" s="38"/>
      <c r="H67" s="38"/>
      <c r="I67" s="38"/>
      <c r="J67" s="38"/>
      <c r="K67" s="38"/>
      <c r="L67" s="88"/>
      <c r="M67" s="7"/>
      <c r="N67" s="7"/>
      <c r="O67" s="7"/>
    </row>
    <row r="68" spans="1:20" ht="16.5" customHeight="1">
      <c r="A68" s="2563"/>
      <c r="B68" s="2564"/>
      <c r="C68" s="110">
        <v>2020</v>
      </c>
      <c r="D68" s="111"/>
      <c r="E68" s="112"/>
      <c r="F68" s="38"/>
      <c r="G68" s="38"/>
      <c r="H68" s="38"/>
      <c r="I68" s="38"/>
      <c r="J68" s="38"/>
      <c r="K68" s="38"/>
      <c r="L68" s="88"/>
      <c r="M68" s="78"/>
      <c r="N68" s="78"/>
      <c r="O68" s="78"/>
    </row>
    <row r="69" spans="1:20" ht="400.5" customHeight="1">
      <c r="A69" s="2563"/>
      <c r="B69" s="2564"/>
      <c r="C69" s="1599" t="s">
        <v>13</v>
      </c>
      <c r="D69" s="1600">
        <f>SUM(D62:D68)</f>
        <v>67</v>
      </c>
      <c r="E69" s="1601">
        <f>SUM(E62:E68)</f>
        <v>67</v>
      </c>
      <c r="F69" s="1602">
        <f t="shared" ref="F69:H69" si="4">SUM(F62:F68)</f>
        <v>0</v>
      </c>
      <c r="G69" s="1602">
        <f t="shared" si="4"/>
        <v>0</v>
      </c>
      <c r="H69" s="1602">
        <f t="shared" si="4"/>
        <v>0</v>
      </c>
      <c r="I69" s="1602">
        <f>SUM(I62:I68)</f>
        <v>0</v>
      </c>
      <c r="J69" s="1602">
        <f>SUM(J62:J68)</f>
        <v>0</v>
      </c>
      <c r="K69" s="1602">
        <f>SUM(K62:K68)</f>
        <v>0</v>
      </c>
      <c r="L69" s="1603">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545" t="s">
        <v>171</v>
      </c>
      <c r="C71" s="68" t="s">
        <v>9</v>
      </c>
      <c r="D71" s="123" t="s">
        <v>426</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552"/>
      <c r="B72" s="2536" t="s">
        <v>427</v>
      </c>
      <c r="C72" s="72">
        <v>2014</v>
      </c>
      <c r="D72" s="131"/>
      <c r="E72" s="131"/>
      <c r="F72" s="131"/>
      <c r="G72" s="132">
        <f>SUM(D72:F72)</f>
        <v>0</v>
      </c>
      <c r="H72" s="30"/>
      <c r="I72" s="133"/>
      <c r="J72" s="109"/>
      <c r="K72" s="109"/>
      <c r="L72" s="109"/>
      <c r="M72" s="109"/>
      <c r="N72" s="109"/>
      <c r="O72" s="134"/>
    </row>
    <row r="73" spans="1:20">
      <c r="A73" s="2553"/>
      <c r="B73" s="2555"/>
      <c r="C73" s="73">
        <v>2015</v>
      </c>
      <c r="D73" s="135"/>
      <c r="E73" s="135"/>
      <c r="F73" s="135"/>
      <c r="G73" s="132">
        <f t="shared" ref="G73:G78" si="5">SUM(D73:F73)</f>
        <v>0</v>
      </c>
      <c r="H73" s="37"/>
      <c r="I73" s="37"/>
      <c r="J73" s="38"/>
      <c r="K73" s="38"/>
      <c r="L73" s="38"/>
      <c r="M73" s="38"/>
      <c r="N73" s="38"/>
      <c r="O73" s="88"/>
    </row>
    <row r="74" spans="1:20">
      <c r="A74" s="2553"/>
      <c r="B74" s="2555"/>
      <c r="C74" s="73">
        <v>2016</v>
      </c>
      <c r="D74" s="135"/>
      <c r="E74" s="135"/>
      <c r="F74" s="135"/>
      <c r="G74" s="132">
        <f t="shared" si="5"/>
        <v>0</v>
      </c>
      <c r="H74" s="37"/>
      <c r="I74" s="37"/>
      <c r="J74" s="38"/>
      <c r="K74" s="38"/>
      <c r="L74" s="38"/>
      <c r="M74" s="38"/>
      <c r="N74" s="38"/>
      <c r="O74" s="88"/>
    </row>
    <row r="75" spans="1:20">
      <c r="A75" s="2553"/>
      <c r="B75" s="2555"/>
      <c r="C75" s="1593">
        <v>2017</v>
      </c>
      <c r="D75" s="512">
        <v>1</v>
      </c>
      <c r="E75" s="512"/>
      <c r="F75" s="512"/>
      <c r="G75" s="132">
        <f t="shared" si="5"/>
        <v>1</v>
      </c>
      <c r="H75" s="90">
        <v>1</v>
      </c>
      <c r="I75" s="90"/>
      <c r="J75" s="91"/>
      <c r="K75" s="91"/>
      <c r="L75" s="91"/>
      <c r="M75" s="91"/>
      <c r="N75" s="91"/>
      <c r="O75" s="603"/>
    </row>
    <row r="76" spans="1:20">
      <c r="A76" s="2553"/>
      <c r="B76" s="2555"/>
      <c r="C76" s="73">
        <v>2018</v>
      </c>
      <c r="D76" s="135"/>
      <c r="E76" s="135"/>
      <c r="F76" s="135"/>
      <c r="G76" s="132">
        <f t="shared" si="5"/>
        <v>0</v>
      </c>
      <c r="H76" s="37"/>
      <c r="I76" s="37"/>
      <c r="J76" s="38"/>
      <c r="K76" s="38"/>
      <c r="L76" s="38"/>
      <c r="M76" s="38"/>
      <c r="N76" s="38"/>
      <c r="O76" s="88"/>
    </row>
    <row r="77" spans="1:20" ht="15.75" customHeight="1">
      <c r="A77" s="2553"/>
      <c r="B77" s="2555"/>
      <c r="C77" s="73">
        <v>2019</v>
      </c>
      <c r="D77" s="135"/>
      <c r="E77" s="135"/>
      <c r="F77" s="135"/>
      <c r="G77" s="132">
        <f t="shared" si="5"/>
        <v>0</v>
      </c>
      <c r="H77" s="37"/>
      <c r="I77" s="37"/>
      <c r="J77" s="38"/>
      <c r="K77" s="38"/>
      <c r="L77" s="38"/>
      <c r="M77" s="38"/>
      <c r="N77" s="38"/>
      <c r="O77" s="88"/>
    </row>
    <row r="78" spans="1:20" ht="17.25" customHeight="1">
      <c r="A78" s="2553"/>
      <c r="B78" s="2555"/>
      <c r="C78" s="73">
        <v>2020</v>
      </c>
      <c r="D78" s="135"/>
      <c r="E78" s="135"/>
      <c r="F78" s="135"/>
      <c r="G78" s="132">
        <f t="shared" si="5"/>
        <v>0</v>
      </c>
      <c r="H78" s="37"/>
      <c r="I78" s="37"/>
      <c r="J78" s="38"/>
      <c r="K78" s="38"/>
      <c r="L78" s="38"/>
      <c r="M78" s="38"/>
      <c r="N78" s="38"/>
      <c r="O78" s="88"/>
    </row>
    <row r="79" spans="1:20" ht="60" customHeight="1" thickBot="1">
      <c r="A79" s="2554"/>
      <c r="B79" s="2556"/>
      <c r="C79" s="136" t="s">
        <v>13</v>
      </c>
      <c r="D79" s="114">
        <f>SUM(D72:D78)</f>
        <v>1</v>
      </c>
      <c r="E79" s="114">
        <f>SUM(E72:E78)</f>
        <v>0</v>
      </c>
      <c r="F79" s="114">
        <f>SUM(F72:F78)</f>
        <v>0</v>
      </c>
      <c r="G79" s="137">
        <f>SUM(G72:G78)</f>
        <v>1</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47" customHeight="1">
      <c r="A84" s="1546" t="s">
        <v>56</v>
      </c>
      <c r="B84" s="1547" t="s">
        <v>178</v>
      </c>
      <c r="C84" s="149" t="s">
        <v>9</v>
      </c>
      <c r="D84" s="150" t="s">
        <v>428</v>
      </c>
      <c r="E84" s="151" t="s">
        <v>59</v>
      </c>
      <c r="F84" s="152" t="s">
        <v>60</v>
      </c>
      <c r="G84" s="152" t="s">
        <v>61</v>
      </c>
      <c r="H84" s="152" t="s">
        <v>62</v>
      </c>
      <c r="I84" s="152" t="s">
        <v>63</v>
      </c>
      <c r="J84" s="152" t="s">
        <v>64</v>
      </c>
      <c r="K84" s="153" t="s">
        <v>65</v>
      </c>
    </row>
    <row r="85" spans="1:16" ht="15" customHeight="1">
      <c r="A85" s="2557"/>
      <c r="B85" s="2078" t="s">
        <v>429</v>
      </c>
      <c r="C85" s="72">
        <v>2014</v>
      </c>
      <c r="D85" s="154"/>
      <c r="E85" s="155"/>
      <c r="F85" s="31"/>
      <c r="G85" s="31"/>
      <c r="H85" s="31"/>
      <c r="I85" s="31"/>
      <c r="J85" s="31"/>
      <c r="K85" s="34"/>
    </row>
    <row r="86" spans="1:16">
      <c r="A86" s="2558"/>
      <c r="B86" s="2079"/>
      <c r="C86" s="73">
        <v>2015</v>
      </c>
      <c r="D86" s="156"/>
      <c r="E86" s="112"/>
      <c r="F86" s="38"/>
      <c r="G86" s="38"/>
      <c r="H86" s="38"/>
      <c r="I86" s="38"/>
      <c r="J86" s="38"/>
      <c r="K86" s="88"/>
    </row>
    <row r="87" spans="1:16">
      <c r="A87" s="2558"/>
      <c r="B87" s="2079"/>
      <c r="C87" s="73">
        <v>2016</v>
      </c>
      <c r="D87" s="156"/>
      <c r="E87" s="112"/>
      <c r="F87" s="38"/>
      <c r="G87" s="38"/>
      <c r="H87" s="38"/>
      <c r="I87" s="38"/>
      <c r="J87" s="38"/>
      <c r="K87" s="88"/>
    </row>
    <row r="88" spans="1:16">
      <c r="A88" s="2558"/>
      <c r="B88" s="2079"/>
      <c r="C88" s="1593">
        <v>2017</v>
      </c>
      <c r="D88" s="411">
        <v>12</v>
      </c>
      <c r="E88" s="600">
        <v>12</v>
      </c>
      <c r="F88" s="91"/>
      <c r="G88" s="91"/>
      <c r="H88" s="91"/>
      <c r="I88" s="91"/>
      <c r="J88" s="91"/>
      <c r="K88" s="603"/>
    </row>
    <row r="89" spans="1:16">
      <c r="A89" s="2558"/>
      <c r="B89" s="2079"/>
      <c r="C89" s="73">
        <v>2018</v>
      </c>
      <c r="D89" s="156"/>
      <c r="E89" s="112"/>
      <c r="F89" s="38"/>
      <c r="G89" s="38"/>
      <c r="H89" s="38"/>
      <c r="I89" s="38"/>
      <c r="J89" s="38"/>
      <c r="K89" s="88"/>
    </row>
    <row r="90" spans="1:16">
      <c r="A90" s="2558"/>
      <c r="B90" s="2079"/>
      <c r="C90" s="73">
        <v>2019</v>
      </c>
      <c r="D90" s="156"/>
      <c r="E90" s="112"/>
      <c r="F90" s="38"/>
      <c r="G90" s="38"/>
      <c r="H90" s="38"/>
      <c r="I90" s="38"/>
      <c r="J90" s="38"/>
      <c r="K90" s="88"/>
    </row>
    <row r="91" spans="1:16">
      <c r="A91" s="2558"/>
      <c r="B91" s="2079"/>
      <c r="C91" s="73">
        <v>2020</v>
      </c>
      <c r="D91" s="156"/>
      <c r="E91" s="112"/>
      <c r="F91" s="38"/>
      <c r="G91" s="38"/>
      <c r="H91" s="38"/>
      <c r="I91" s="38"/>
      <c r="J91" s="38"/>
      <c r="K91" s="88"/>
    </row>
    <row r="92" spans="1:16" ht="18" customHeight="1" thickBot="1">
      <c r="A92" s="2559"/>
      <c r="B92" s="2080"/>
      <c r="C92" s="136" t="s">
        <v>13</v>
      </c>
      <c r="D92" s="157">
        <f t="shared" ref="D92:I92" si="7">SUM(D85:D91)</f>
        <v>12</v>
      </c>
      <c r="E92" s="115">
        <f t="shared" si="7"/>
        <v>12</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1916" t="s">
        <v>70</v>
      </c>
      <c r="E96" s="1917"/>
      <c r="F96" s="162" t="s">
        <v>71</v>
      </c>
      <c r="G96" s="1548"/>
      <c r="H96" s="1548"/>
      <c r="I96" s="1548"/>
      <c r="J96" s="1548"/>
      <c r="K96" s="1548"/>
      <c r="L96" s="1548"/>
      <c r="M96" s="1549"/>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546"/>
      <c r="B98" s="2549"/>
      <c r="C98" s="106">
        <v>2014</v>
      </c>
      <c r="D98" s="30"/>
      <c r="E98" s="31"/>
      <c r="F98" s="174"/>
      <c r="G98" s="175"/>
      <c r="H98" s="175"/>
      <c r="I98" s="175"/>
      <c r="J98" s="175"/>
      <c r="K98" s="175"/>
      <c r="L98" s="175"/>
      <c r="M98" s="176"/>
      <c r="N98" s="165"/>
      <c r="O98" s="165"/>
      <c r="P98" s="165"/>
    </row>
    <row r="99" spans="1:16" ht="16.5" customHeight="1">
      <c r="A99" s="2547"/>
      <c r="B99" s="2550"/>
      <c r="C99" s="110">
        <v>2015</v>
      </c>
      <c r="D99" s="37"/>
      <c r="E99" s="38"/>
      <c r="F99" s="177"/>
      <c r="G99" s="178"/>
      <c r="H99" s="178"/>
      <c r="I99" s="178"/>
      <c r="J99" s="178"/>
      <c r="K99" s="178"/>
      <c r="L99" s="178"/>
      <c r="M99" s="179"/>
      <c r="N99" s="165"/>
      <c r="O99" s="165"/>
      <c r="P99" s="165"/>
    </row>
    <row r="100" spans="1:16" ht="16.5" customHeight="1">
      <c r="A100" s="2547"/>
      <c r="B100" s="2550"/>
      <c r="C100" s="110">
        <v>2016</v>
      </c>
      <c r="D100" s="37"/>
      <c r="E100" s="38"/>
      <c r="F100" s="177"/>
      <c r="G100" s="178"/>
      <c r="H100" s="178"/>
      <c r="I100" s="178"/>
      <c r="J100" s="178"/>
      <c r="K100" s="178"/>
      <c r="L100" s="178"/>
      <c r="M100" s="179"/>
      <c r="N100" s="165"/>
      <c r="O100" s="165"/>
      <c r="P100" s="165"/>
    </row>
    <row r="101" spans="1:16" ht="16.5" customHeight="1">
      <c r="A101" s="2547"/>
      <c r="B101" s="2550"/>
      <c r="C101" s="479">
        <v>2017</v>
      </c>
      <c r="D101" s="90"/>
      <c r="E101" s="91"/>
      <c r="F101" s="1604"/>
      <c r="G101" s="1605"/>
      <c r="H101" s="1605"/>
      <c r="I101" s="1605"/>
      <c r="J101" s="1605"/>
      <c r="K101" s="1605"/>
      <c r="L101" s="1605"/>
      <c r="M101" s="551"/>
      <c r="N101" s="165"/>
      <c r="O101" s="165"/>
      <c r="P101" s="165"/>
    </row>
    <row r="102" spans="1:16" ht="15.75" customHeight="1">
      <c r="A102" s="2547"/>
      <c r="B102" s="2550"/>
      <c r="C102" s="110">
        <v>2018</v>
      </c>
      <c r="D102" s="37"/>
      <c r="E102" s="38"/>
      <c r="F102" s="177"/>
      <c r="G102" s="178"/>
      <c r="H102" s="178"/>
      <c r="I102" s="178"/>
      <c r="J102" s="178"/>
      <c r="K102" s="178"/>
      <c r="L102" s="178"/>
      <c r="M102" s="179"/>
      <c r="N102" s="165"/>
      <c r="O102" s="165"/>
      <c r="P102" s="165"/>
    </row>
    <row r="103" spans="1:16" ht="14.25" customHeight="1">
      <c r="A103" s="2547"/>
      <c r="B103" s="2550"/>
      <c r="C103" s="110">
        <v>2019</v>
      </c>
      <c r="D103" s="37"/>
      <c r="E103" s="38"/>
      <c r="F103" s="177"/>
      <c r="G103" s="178"/>
      <c r="H103" s="178"/>
      <c r="I103" s="178"/>
      <c r="J103" s="178"/>
      <c r="K103" s="178"/>
      <c r="L103" s="178"/>
      <c r="M103" s="179"/>
      <c r="N103" s="165"/>
      <c r="O103" s="165"/>
      <c r="P103" s="165"/>
    </row>
    <row r="104" spans="1:16" ht="14.25" customHeight="1">
      <c r="A104" s="2547"/>
      <c r="B104" s="2550"/>
      <c r="C104" s="110">
        <v>2020</v>
      </c>
      <c r="D104" s="37"/>
      <c r="E104" s="38"/>
      <c r="F104" s="177"/>
      <c r="G104" s="178"/>
      <c r="H104" s="178"/>
      <c r="I104" s="178"/>
      <c r="J104" s="178"/>
      <c r="K104" s="178"/>
      <c r="L104" s="178"/>
      <c r="M104" s="179"/>
      <c r="N104" s="165"/>
      <c r="O104" s="165"/>
      <c r="P104" s="165"/>
    </row>
    <row r="105" spans="1:16" ht="19.5" customHeight="1" thickBot="1">
      <c r="A105" s="2548"/>
      <c r="B105" s="2551"/>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430</v>
      </c>
      <c r="E107" s="162" t="s">
        <v>79</v>
      </c>
      <c r="F107" s="1548"/>
      <c r="G107" s="1548"/>
      <c r="H107" s="1548"/>
      <c r="I107" s="1548"/>
      <c r="J107" s="1548"/>
      <c r="K107" s="1548"/>
      <c r="L107" s="1549"/>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546"/>
      <c r="B109" s="2536" t="s">
        <v>431</v>
      </c>
      <c r="C109" s="106">
        <v>2014</v>
      </c>
      <c r="D109" s="31"/>
      <c r="E109" s="174"/>
      <c r="F109" s="175"/>
      <c r="G109" s="175"/>
      <c r="H109" s="175"/>
      <c r="I109" s="175"/>
      <c r="J109" s="175"/>
      <c r="K109" s="175"/>
      <c r="L109" s="176"/>
      <c r="M109" s="185"/>
      <c r="N109" s="185"/>
    </row>
    <row r="110" spans="1:16">
      <c r="A110" s="2547"/>
      <c r="B110" s="2555"/>
      <c r="C110" s="110">
        <v>2015</v>
      </c>
      <c r="D110" s="38"/>
      <c r="E110" s="177"/>
      <c r="F110" s="178"/>
      <c r="G110" s="178"/>
      <c r="H110" s="178"/>
      <c r="I110" s="178"/>
      <c r="J110" s="178"/>
      <c r="K110" s="178"/>
      <c r="L110" s="179"/>
      <c r="M110" s="185"/>
      <c r="N110" s="185"/>
    </row>
    <row r="111" spans="1:16">
      <c r="A111" s="2547"/>
      <c r="B111" s="2555"/>
      <c r="C111" s="110">
        <v>2016</v>
      </c>
      <c r="D111" s="38"/>
      <c r="E111" s="177"/>
      <c r="F111" s="178"/>
      <c r="G111" s="178"/>
      <c r="H111" s="178"/>
      <c r="I111" s="178"/>
      <c r="J111" s="178"/>
      <c r="K111" s="178"/>
      <c r="L111" s="179"/>
      <c r="M111" s="185"/>
      <c r="N111" s="185"/>
    </row>
    <row r="112" spans="1:16">
      <c r="A112" s="2547"/>
      <c r="B112" s="2555"/>
      <c r="C112" s="479">
        <v>2017</v>
      </c>
      <c r="D112" s="91">
        <v>22</v>
      </c>
      <c r="E112" s="1604">
        <v>22</v>
      </c>
      <c r="F112" s="1605"/>
      <c r="G112" s="1605"/>
      <c r="H112" s="1605"/>
      <c r="I112" s="1605"/>
      <c r="J112" s="1605"/>
      <c r="K112" s="1605"/>
      <c r="L112" s="551"/>
      <c r="M112" s="185"/>
      <c r="N112" s="185"/>
    </row>
    <row r="113" spans="1:14">
      <c r="A113" s="2547"/>
      <c r="B113" s="2555"/>
      <c r="C113" s="110">
        <v>2018</v>
      </c>
      <c r="D113" s="38"/>
      <c r="E113" s="177"/>
      <c r="F113" s="178"/>
      <c r="G113" s="178"/>
      <c r="H113" s="178"/>
      <c r="I113" s="178"/>
      <c r="J113" s="178"/>
      <c r="K113" s="178"/>
      <c r="L113" s="179"/>
      <c r="M113" s="185"/>
      <c r="N113" s="185"/>
    </row>
    <row r="114" spans="1:14">
      <c r="A114" s="2547"/>
      <c r="B114" s="2555"/>
      <c r="C114" s="110">
        <v>2019</v>
      </c>
      <c r="D114" s="38"/>
      <c r="E114" s="177"/>
      <c r="F114" s="178"/>
      <c r="G114" s="178"/>
      <c r="H114" s="178"/>
      <c r="I114" s="178"/>
      <c r="J114" s="178"/>
      <c r="K114" s="178"/>
      <c r="L114" s="179"/>
      <c r="M114" s="185"/>
      <c r="N114" s="185"/>
    </row>
    <row r="115" spans="1:14">
      <c r="A115" s="2547"/>
      <c r="B115" s="2555"/>
      <c r="C115" s="110">
        <v>2020</v>
      </c>
      <c r="D115" s="38"/>
      <c r="E115" s="177"/>
      <c r="F115" s="178"/>
      <c r="G115" s="178"/>
      <c r="H115" s="178"/>
      <c r="I115" s="178"/>
      <c r="J115" s="178"/>
      <c r="K115" s="178"/>
      <c r="L115" s="179"/>
      <c r="M115" s="185"/>
      <c r="N115" s="185"/>
    </row>
    <row r="116" spans="1:14" ht="25.5" customHeight="1" thickBot="1">
      <c r="A116" s="2548"/>
      <c r="B116" s="2556"/>
      <c r="C116" s="113" t="s">
        <v>13</v>
      </c>
      <c r="D116" s="116">
        <f t="shared" ref="D116:I116" si="9">SUM(D109:D115)</f>
        <v>22</v>
      </c>
      <c r="E116" s="180">
        <f t="shared" si="9"/>
        <v>22</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62" t="s">
        <v>79</v>
      </c>
      <c r="F118" s="1548"/>
      <c r="G118" s="1548"/>
      <c r="H118" s="1548"/>
      <c r="I118" s="1548"/>
      <c r="J118" s="1548"/>
      <c r="K118" s="1548"/>
      <c r="L118" s="1549"/>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546"/>
      <c r="B120" s="2549"/>
      <c r="C120" s="106">
        <v>2014</v>
      </c>
      <c r="D120" s="31"/>
      <c r="E120" s="174"/>
      <c r="F120" s="175"/>
      <c r="G120" s="175"/>
      <c r="H120" s="175"/>
      <c r="I120" s="175"/>
      <c r="J120" s="175"/>
      <c r="K120" s="175"/>
      <c r="L120" s="176"/>
      <c r="M120" s="185"/>
      <c r="N120" s="185"/>
    </row>
    <row r="121" spans="1:14">
      <c r="A121" s="2547"/>
      <c r="B121" s="2550"/>
      <c r="C121" s="110">
        <v>2015</v>
      </c>
      <c r="D121" s="38"/>
      <c r="E121" s="177"/>
      <c r="F121" s="178"/>
      <c r="G121" s="178"/>
      <c r="H121" s="178"/>
      <c r="I121" s="178"/>
      <c r="J121" s="178"/>
      <c r="K121" s="178"/>
      <c r="L121" s="179"/>
      <c r="M121" s="185"/>
      <c r="N121" s="185"/>
    </row>
    <row r="122" spans="1:14">
      <c r="A122" s="2547"/>
      <c r="B122" s="2550"/>
      <c r="C122" s="110">
        <v>2016</v>
      </c>
      <c r="D122" s="38"/>
      <c r="E122" s="177"/>
      <c r="F122" s="178"/>
      <c r="G122" s="178"/>
      <c r="H122" s="178"/>
      <c r="I122" s="178"/>
      <c r="J122" s="178"/>
      <c r="K122" s="178"/>
      <c r="L122" s="179"/>
      <c r="M122" s="185"/>
      <c r="N122" s="185"/>
    </row>
    <row r="123" spans="1:14">
      <c r="A123" s="2547"/>
      <c r="B123" s="2550"/>
      <c r="C123" s="479">
        <v>2017</v>
      </c>
      <c r="D123" s="91"/>
      <c r="E123" s="1604"/>
      <c r="F123" s="1605"/>
      <c r="G123" s="1605"/>
      <c r="H123" s="1605"/>
      <c r="I123" s="1605"/>
      <c r="J123" s="1605"/>
      <c r="K123" s="1605"/>
      <c r="L123" s="551"/>
      <c r="M123" s="185"/>
      <c r="N123" s="185"/>
    </row>
    <row r="124" spans="1:14">
      <c r="A124" s="2547"/>
      <c r="B124" s="2550"/>
      <c r="C124" s="110">
        <v>2018</v>
      </c>
      <c r="D124" s="38"/>
      <c r="E124" s="177"/>
      <c r="F124" s="178"/>
      <c r="G124" s="178"/>
      <c r="H124" s="178"/>
      <c r="I124" s="178"/>
      <c r="J124" s="178"/>
      <c r="K124" s="178"/>
      <c r="L124" s="179"/>
      <c r="M124" s="185"/>
      <c r="N124" s="185"/>
    </row>
    <row r="125" spans="1:14">
      <c r="A125" s="2547"/>
      <c r="B125" s="2550"/>
      <c r="C125" s="110">
        <v>2019</v>
      </c>
      <c r="D125" s="38"/>
      <c r="E125" s="177"/>
      <c r="F125" s="178"/>
      <c r="G125" s="178"/>
      <c r="H125" s="178"/>
      <c r="I125" s="178"/>
      <c r="J125" s="178"/>
      <c r="K125" s="178"/>
      <c r="L125" s="179"/>
      <c r="M125" s="185"/>
      <c r="N125" s="185"/>
    </row>
    <row r="126" spans="1:14">
      <c r="A126" s="2547"/>
      <c r="B126" s="2550"/>
      <c r="C126" s="110">
        <v>2020</v>
      </c>
      <c r="D126" s="38"/>
      <c r="E126" s="177"/>
      <c r="F126" s="178"/>
      <c r="G126" s="178"/>
      <c r="H126" s="178"/>
      <c r="I126" s="178"/>
      <c r="J126" s="178"/>
      <c r="K126" s="178"/>
      <c r="L126" s="179"/>
      <c r="M126" s="185"/>
      <c r="N126" s="185"/>
    </row>
    <row r="127" spans="1:14" ht="15.75" thickBot="1">
      <c r="A127" s="2548"/>
      <c r="B127" s="2551"/>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550" t="s">
        <v>9</v>
      </c>
      <c r="D129" s="189" t="s">
        <v>85</v>
      </c>
      <c r="E129" s="1551"/>
      <c r="F129" s="1551"/>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2552"/>
      <c r="B131" s="1973"/>
      <c r="C131" s="106">
        <v>2015</v>
      </c>
      <c r="D131" s="30"/>
      <c r="E131" s="31"/>
      <c r="F131" s="31"/>
      <c r="G131" s="195">
        <f t="shared" ref="G131:G136" si="11">SUM(D131:F131)</f>
        <v>0</v>
      </c>
      <c r="H131" s="185"/>
      <c r="I131" s="185"/>
      <c r="J131" s="185"/>
      <c r="K131" s="185"/>
      <c r="L131" s="185"/>
      <c r="M131" s="185"/>
      <c r="N131" s="185"/>
    </row>
    <row r="132" spans="1:16">
      <c r="A132" s="2553"/>
      <c r="B132" s="1974"/>
      <c r="C132" s="110">
        <v>2016</v>
      </c>
      <c r="D132" s="37"/>
      <c r="E132" s="38"/>
      <c r="F132" s="38"/>
      <c r="G132" s="195">
        <f t="shared" si="11"/>
        <v>0</v>
      </c>
      <c r="H132" s="185"/>
      <c r="I132" s="185"/>
      <c r="J132" s="185"/>
      <c r="K132" s="185"/>
      <c r="L132" s="185"/>
      <c r="M132" s="185"/>
      <c r="N132" s="185"/>
    </row>
    <row r="133" spans="1:16">
      <c r="A133" s="2553"/>
      <c r="B133" s="1974"/>
      <c r="C133" s="479">
        <v>2017</v>
      </c>
      <c r="D133" s="90"/>
      <c r="E133" s="91"/>
      <c r="F133" s="91"/>
      <c r="G133" s="1606">
        <f t="shared" si="11"/>
        <v>0</v>
      </c>
      <c r="H133" s="185"/>
      <c r="I133" s="185"/>
      <c r="J133" s="185"/>
      <c r="K133" s="185"/>
      <c r="L133" s="185"/>
      <c r="M133" s="185"/>
      <c r="N133" s="185"/>
    </row>
    <row r="134" spans="1:16">
      <c r="A134" s="2553"/>
      <c r="B134" s="1974"/>
      <c r="C134" s="110">
        <v>2018</v>
      </c>
      <c r="D134" s="37"/>
      <c r="E134" s="38"/>
      <c r="F134" s="38"/>
      <c r="G134" s="195">
        <f t="shared" si="11"/>
        <v>0</v>
      </c>
      <c r="H134" s="185"/>
      <c r="I134" s="185"/>
      <c r="J134" s="185"/>
      <c r="K134" s="185"/>
      <c r="L134" s="185"/>
      <c r="M134" s="185"/>
      <c r="N134" s="185"/>
    </row>
    <row r="135" spans="1:16">
      <c r="A135" s="2553"/>
      <c r="B135" s="1974"/>
      <c r="C135" s="110">
        <v>2019</v>
      </c>
      <c r="D135" s="37"/>
      <c r="E135" s="38"/>
      <c r="F135" s="38"/>
      <c r="G135" s="195">
        <f t="shared" si="11"/>
        <v>0</v>
      </c>
      <c r="H135" s="185"/>
      <c r="I135" s="185"/>
      <c r="J135" s="185"/>
      <c r="K135" s="185"/>
      <c r="L135" s="185"/>
      <c r="M135" s="185"/>
      <c r="N135" s="185"/>
    </row>
    <row r="136" spans="1:16">
      <c r="A136" s="2553"/>
      <c r="B136" s="1974"/>
      <c r="C136" s="110">
        <v>2020</v>
      </c>
      <c r="D136" s="37"/>
      <c r="E136" s="38"/>
      <c r="F136" s="38"/>
      <c r="G136" s="195">
        <f t="shared" si="11"/>
        <v>0</v>
      </c>
      <c r="H136" s="185"/>
      <c r="I136" s="185"/>
      <c r="J136" s="185"/>
      <c r="K136" s="185"/>
      <c r="L136" s="185"/>
      <c r="M136" s="185"/>
      <c r="N136" s="185"/>
    </row>
    <row r="137" spans="1:16" ht="17.25" customHeight="1" thickBot="1">
      <c r="A137" s="2554"/>
      <c r="B137" s="1975"/>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47.7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546"/>
      <c r="B144" s="2549"/>
      <c r="C144" s="106">
        <v>2014</v>
      </c>
      <c r="D144" s="30"/>
      <c r="E144" s="30"/>
      <c r="F144" s="31"/>
      <c r="G144" s="175"/>
      <c r="H144" s="175"/>
      <c r="I144" s="213">
        <f>D144+F144+G144+H144</f>
        <v>0</v>
      </c>
      <c r="J144" s="214"/>
      <c r="K144" s="215"/>
      <c r="L144" s="214"/>
      <c r="M144" s="215"/>
      <c r="N144" s="216"/>
      <c r="O144" s="165"/>
      <c r="P144" s="165"/>
    </row>
    <row r="145" spans="1:16" ht="19.5" customHeight="1">
      <c r="A145" s="2547"/>
      <c r="B145" s="2550"/>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2547"/>
      <c r="B146" s="2550"/>
      <c r="C146" s="110">
        <v>2016</v>
      </c>
      <c r="D146" s="37"/>
      <c r="E146" s="37"/>
      <c r="F146" s="38"/>
      <c r="G146" s="178"/>
      <c r="H146" s="178"/>
      <c r="I146" s="213">
        <f t="shared" si="13"/>
        <v>0</v>
      </c>
      <c r="J146" s="217"/>
      <c r="K146" s="218"/>
      <c r="L146" s="217"/>
      <c r="M146" s="218"/>
      <c r="N146" s="219"/>
      <c r="O146" s="165"/>
      <c r="P146" s="165"/>
    </row>
    <row r="147" spans="1:16" ht="17.25" customHeight="1">
      <c r="A147" s="2547"/>
      <c r="B147" s="2550"/>
      <c r="C147" s="479">
        <v>2017</v>
      </c>
      <c r="D147" s="90"/>
      <c r="E147" s="90"/>
      <c r="F147" s="91"/>
      <c r="G147" s="1605"/>
      <c r="H147" s="1605"/>
      <c r="I147" s="1607">
        <f t="shared" si="13"/>
        <v>0</v>
      </c>
      <c r="J147" s="1608"/>
      <c r="K147" s="1607"/>
      <c r="L147" s="1608"/>
      <c r="M147" s="1607"/>
      <c r="N147" s="412"/>
      <c r="O147" s="165"/>
      <c r="P147" s="165"/>
    </row>
    <row r="148" spans="1:16" ht="19.5" customHeight="1">
      <c r="A148" s="2547"/>
      <c r="B148" s="2550"/>
      <c r="C148" s="110">
        <v>2018</v>
      </c>
      <c r="D148" s="37"/>
      <c r="E148" s="37"/>
      <c r="F148" s="38"/>
      <c r="G148" s="178"/>
      <c r="H148" s="178"/>
      <c r="I148" s="213">
        <f t="shared" si="13"/>
        <v>0</v>
      </c>
      <c r="J148" s="217"/>
      <c r="K148" s="218"/>
      <c r="L148" s="217"/>
      <c r="M148" s="218"/>
      <c r="N148" s="219"/>
      <c r="O148" s="165"/>
      <c r="P148" s="165"/>
    </row>
    <row r="149" spans="1:16" ht="19.5" customHeight="1">
      <c r="A149" s="2547"/>
      <c r="B149" s="2550"/>
      <c r="C149" s="110">
        <v>2019</v>
      </c>
      <c r="D149" s="37"/>
      <c r="E149" s="37"/>
      <c r="F149" s="38"/>
      <c r="G149" s="178"/>
      <c r="H149" s="178"/>
      <c r="I149" s="213">
        <f t="shared" si="13"/>
        <v>0</v>
      </c>
      <c r="J149" s="217"/>
      <c r="K149" s="218"/>
      <c r="L149" s="217"/>
      <c r="M149" s="218"/>
      <c r="N149" s="219"/>
      <c r="O149" s="165"/>
      <c r="P149" s="165"/>
    </row>
    <row r="150" spans="1:16" ht="18.75" customHeight="1">
      <c r="A150" s="2547"/>
      <c r="B150" s="2550"/>
      <c r="C150" s="110">
        <v>2020</v>
      </c>
      <c r="D150" s="37"/>
      <c r="E150" s="37"/>
      <c r="F150" s="38"/>
      <c r="G150" s="178"/>
      <c r="H150" s="178"/>
      <c r="I150" s="213">
        <f t="shared" si="13"/>
        <v>0</v>
      </c>
      <c r="J150" s="217"/>
      <c r="K150" s="218"/>
      <c r="L150" s="217"/>
      <c r="M150" s="218"/>
      <c r="N150" s="219"/>
      <c r="O150" s="165"/>
      <c r="P150" s="165"/>
    </row>
    <row r="151" spans="1:16" ht="18" customHeight="1" thickBot="1">
      <c r="A151" s="2548"/>
      <c r="B151" s="2551"/>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2517"/>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546"/>
      <c r="B155" s="2549"/>
      <c r="C155" s="233">
        <v>2014</v>
      </c>
      <c r="D155" s="214"/>
      <c r="E155" s="175"/>
      <c r="F155" s="215"/>
      <c r="G155" s="213">
        <f>SUM(D155:F155)</f>
        <v>0</v>
      </c>
      <c r="H155" s="214"/>
      <c r="I155" s="175"/>
      <c r="J155" s="176"/>
      <c r="O155" s="165"/>
      <c r="P155" s="165"/>
    </row>
    <row r="156" spans="1:16" ht="19.5" customHeight="1">
      <c r="A156" s="2547"/>
      <c r="B156" s="2550"/>
      <c r="C156" s="234">
        <v>2015</v>
      </c>
      <c r="D156" s="217"/>
      <c r="E156" s="178"/>
      <c r="F156" s="218"/>
      <c r="G156" s="213">
        <f t="shared" ref="G156:G161" si="15">SUM(D156:F156)</f>
        <v>0</v>
      </c>
      <c r="H156" s="217"/>
      <c r="I156" s="178"/>
      <c r="J156" s="179"/>
      <c r="O156" s="165"/>
      <c r="P156" s="165"/>
    </row>
    <row r="157" spans="1:16" ht="17.25" customHeight="1">
      <c r="A157" s="2547"/>
      <c r="B157" s="2550"/>
      <c r="C157" s="234">
        <v>2016</v>
      </c>
      <c r="D157" s="217"/>
      <c r="E157" s="178"/>
      <c r="F157" s="218"/>
      <c r="G157" s="213">
        <f t="shared" si="15"/>
        <v>0</v>
      </c>
      <c r="H157" s="217"/>
      <c r="I157" s="178"/>
      <c r="J157" s="179"/>
      <c r="O157" s="165"/>
      <c r="P157" s="165"/>
    </row>
    <row r="158" spans="1:16" ht="15" customHeight="1">
      <c r="A158" s="2547"/>
      <c r="B158" s="2550"/>
      <c r="C158" s="1609">
        <v>2017</v>
      </c>
      <c r="D158" s="1608"/>
      <c r="E158" s="1605"/>
      <c r="F158" s="1607"/>
      <c r="G158" s="1607">
        <f t="shared" si="15"/>
        <v>0</v>
      </c>
      <c r="H158" s="1608"/>
      <c r="I158" s="1605"/>
      <c r="J158" s="551"/>
      <c r="O158" s="165"/>
      <c r="P158" s="165"/>
    </row>
    <row r="159" spans="1:16" ht="19.5" customHeight="1">
      <c r="A159" s="2547"/>
      <c r="B159" s="2550"/>
      <c r="C159" s="234">
        <v>2018</v>
      </c>
      <c r="D159" s="217"/>
      <c r="E159" s="178"/>
      <c r="F159" s="218"/>
      <c r="G159" s="213">
        <f t="shared" si="15"/>
        <v>0</v>
      </c>
      <c r="H159" s="217"/>
      <c r="I159" s="178"/>
      <c r="J159" s="179"/>
      <c r="O159" s="165"/>
      <c r="P159" s="165"/>
    </row>
    <row r="160" spans="1:16" ht="15" customHeight="1">
      <c r="A160" s="2547"/>
      <c r="B160" s="2550"/>
      <c r="C160" s="234">
        <v>2019</v>
      </c>
      <c r="D160" s="217"/>
      <c r="E160" s="178"/>
      <c r="F160" s="218"/>
      <c r="G160" s="213">
        <f t="shared" si="15"/>
        <v>0</v>
      </c>
      <c r="H160" s="217"/>
      <c r="I160" s="178"/>
      <c r="J160" s="179"/>
      <c r="O160" s="165"/>
      <c r="P160" s="165"/>
    </row>
    <row r="161" spans="1:18" ht="17.25" customHeight="1">
      <c r="A161" s="2547"/>
      <c r="B161" s="2550"/>
      <c r="C161" s="234">
        <v>2020</v>
      </c>
      <c r="D161" s="217"/>
      <c r="E161" s="178"/>
      <c r="F161" s="218"/>
      <c r="G161" s="213">
        <f t="shared" si="15"/>
        <v>0</v>
      </c>
      <c r="H161" s="217"/>
      <c r="I161" s="178"/>
      <c r="J161" s="179"/>
      <c r="O161" s="165"/>
      <c r="P161" s="165"/>
    </row>
    <row r="162" spans="1:18" ht="15.75" thickBot="1">
      <c r="A162" s="2548"/>
      <c r="B162" s="2551"/>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566"/>
      <c r="F163" s="165"/>
      <c r="G163" s="165"/>
      <c r="H163" s="165"/>
      <c r="I163" s="165"/>
      <c r="J163" s="241"/>
      <c r="K163" s="242"/>
    </row>
    <row r="164" spans="1:18" ht="95.25" customHeight="1">
      <c r="A164" s="243" t="s">
        <v>115</v>
      </c>
      <c r="B164" s="405" t="s">
        <v>181</v>
      </c>
      <c r="C164" s="1567" t="s">
        <v>9</v>
      </c>
      <c r="D164" s="246" t="s">
        <v>117</v>
      </c>
      <c r="E164" s="246" t="s">
        <v>118</v>
      </c>
      <c r="F164" s="1568" t="s">
        <v>119</v>
      </c>
      <c r="G164" s="246" t="s">
        <v>120</v>
      </c>
      <c r="H164" s="246" t="s">
        <v>121</v>
      </c>
      <c r="I164" s="248" t="s">
        <v>122</v>
      </c>
      <c r="J164" s="249" t="s">
        <v>123</v>
      </c>
      <c r="K164" s="249" t="s">
        <v>124</v>
      </c>
      <c r="L164" s="1569"/>
    </row>
    <row r="165" spans="1:18" ht="15.75" customHeight="1">
      <c r="A165" s="2540"/>
      <c r="B165" s="2543"/>
      <c r="C165" s="251">
        <v>2014</v>
      </c>
      <c r="D165" s="175"/>
      <c r="E165" s="175"/>
      <c r="F165" s="175"/>
      <c r="G165" s="175"/>
      <c r="H165" s="175"/>
      <c r="I165" s="176"/>
      <c r="J165" s="252">
        <f>SUM(D165,F165,H165)</f>
        <v>0</v>
      </c>
      <c r="K165" s="253">
        <f>SUM(E165,G165,I165)</f>
        <v>0</v>
      </c>
      <c r="L165" s="1569"/>
    </row>
    <row r="166" spans="1:18">
      <c r="A166" s="2541"/>
      <c r="B166" s="2544"/>
      <c r="C166" s="254">
        <v>2015</v>
      </c>
      <c r="D166" s="255"/>
      <c r="E166" s="255"/>
      <c r="F166" s="255"/>
      <c r="G166" s="255"/>
      <c r="H166" s="255"/>
      <c r="I166" s="256"/>
      <c r="J166" s="407">
        <f t="shared" ref="J166:K171" si="17">SUM(D166,F166,H166)</f>
        <v>0</v>
      </c>
      <c r="K166" s="408">
        <f t="shared" si="17"/>
        <v>0</v>
      </c>
      <c r="L166" s="1569"/>
    </row>
    <row r="167" spans="1:18">
      <c r="A167" s="2541"/>
      <c r="B167" s="2544"/>
      <c r="C167" s="254">
        <v>2016</v>
      </c>
      <c r="D167" s="255"/>
      <c r="E167" s="255"/>
      <c r="F167" s="255"/>
      <c r="G167" s="255"/>
      <c r="H167" s="255"/>
      <c r="I167" s="256"/>
      <c r="J167" s="407">
        <f t="shared" si="17"/>
        <v>0</v>
      </c>
      <c r="K167" s="408">
        <f t="shared" si="17"/>
        <v>0</v>
      </c>
    </row>
    <row r="168" spans="1:18">
      <c r="A168" s="2541"/>
      <c r="B168" s="2544"/>
      <c r="C168" s="1610">
        <v>2017</v>
      </c>
      <c r="D168" s="1605"/>
      <c r="E168" s="199"/>
      <c r="F168" s="1605"/>
      <c r="G168" s="1605"/>
      <c r="H168" s="1605"/>
      <c r="I168" s="551"/>
      <c r="J168" s="407">
        <f t="shared" si="17"/>
        <v>0</v>
      </c>
      <c r="K168" s="408">
        <f t="shared" si="17"/>
        <v>0</v>
      </c>
    </row>
    <row r="169" spans="1:18">
      <c r="A169" s="2541"/>
      <c r="B169" s="2544"/>
      <c r="C169" s="262">
        <v>2018</v>
      </c>
      <c r="D169" s="255"/>
      <c r="E169" s="255"/>
      <c r="F169" s="255"/>
      <c r="G169" s="263"/>
      <c r="H169" s="255"/>
      <c r="I169" s="256"/>
      <c r="J169" s="407">
        <f t="shared" si="17"/>
        <v>0</v>
      </c>
      <c r="K169" s="408">
        <f t="shared" si="17"/>
        <v>0</v>
      </c>
      <c r="L169" s="1569"/>
    </row>
    <row r="170" spans="1:18">
      <c r="A170" s="2541"/>
      <c r="B170" s="2544"/>
      <c r="C170" s="254">
        <v>2019</v>
      </c>
      <c r="D170" s="165"/>
      <c r="E170" s="255"/>
      <c r="F170" s="255"/>
      <c r="G170" s="255"/>
      <c r="H170" s="263"/>
      <c r="I170" s="256"/>
      <c r="J170" s="407">
        <f t="shared" si="17"/>
        <v>0</v>
      </c>
      <c r="K170" s="408">
        <f t="shared" si="17"/>
        <v>0</v>
      </c>
      <c r="L170" s="1569"/>
    </row>
    <row r="171" spans="1:18">
      <c r="A171" s="2541"/>
      <c r="B171" s="2544"/>
      <c r="C171" s="262">
        <v>2020</v>
      </c>
      <c r="D171" s="255"/>
      <c r="E171" s="255"/>
      <c r="F171" s="255"/>
      <c r="G171" s="255"/>
      <c r="H171" s="255"/>
      <c r="I171" s="256"/>
      <c r="J171" s="407">
        <f t="shared" si="17"/>
        <v>0</v>
      </c>
      <c r="K171" s="408">
        <f t="shared" si="17"/>
        <v>0</v>
      </c>
      <c r="L171" s="1569"/>
    </row>
    <row r="172" spans="1:18" ht="41.25" customHeight="1" thickBot="1">
      <c r="A172" s="2542"/>
      <c r="B172" s="2545"/>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69"/>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273" t="s">
        <v>128</v>
      </c>
      <c r="E176" s="1572"/>
      <c r="F176" s="1572"/>
      <c r="G176" s="1573"/>
      <c r="H176" s="276"/>
      <c r="I176" s="1888" t="s">
        <v>129</v>
      </c>
      <c r="J176" s="2393"/>
      <c r="K176" s="2393"/>
      <c r="L176" s="2393"/>
      <c r="M176" s="2393"/>
      <c r="N176" s="2393"/>
      <c r="O176" s="2394"/>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537"/>
      <c r="B178" s="2536" t="s">
        <v>432</v>
      </c>
      <c r="C178" s="106">
        <v>2014</v>
      </c>
      <c r="D178" s="30"/>
      <c r="E178" s="31"/>
      <c r="F178" s="31"/>
      <c r="G178" s="284">
        <f>SUM(D178:F178)</f>
        <v>0</v>
      </c>
      <c r="H178" s="155"/>
      <c r="I178" s="155"/>
      <c r="J178" s="31"/>
      <c r="K178" s="31"/>
      <c r="L178" s="31"/>
      <c r="M178" s="31"/>
      <c r="N178" s="31"/>
      <c r="O178" s="34"/>
    </row>
    <row r="179" spans="1:15">
      <c r="A179" s="2538"/>
      <c r="B179" s="2079"/>
      <c r="C179" s="110">
        <v>2015</v>
      </c>
      <c r="D179" s="37"/>
      <c r="E179" s="38"/>
      <c r="F179" s="38">
        <v>2</v>
      </c>
      <c r="G179" s="284">
        <f t="shared" ref="G179:G184" si="19">SUM(D179:F179)</f>
        <v>2</v>
      </c>
      <c r="H179" s="411">
        <v>2</v>
      </c>
      <c r="I179" s="112">
        <v>2</v>
      </c>
      <c r="J179" s="38"/>
      <c r="K179" s="38"/>
      <c r="L179" s="38"/>
      <c r="M179" s="38"/>
      <c r="N179" s="38"/>
      <c r="O179" s="88"/>
    </row>
    <row r="180" spans="1:15">
      <c r="A180" s="2538"/>
      <c r="B180" s="2079"/>
      <c r="C180" s="110">
        <v>2016</v>
      </c>
      <c r="D180" s="37">
        <v>1</v>
      </c>
      <c r="E180" s="38">
        <f>2+1</f>
        <v>3</v>
      </c>
      <c r="F180" s="91">
        <v>39</v>
      </c>
      <c r="G180" s="284">
        <f t="shared" si="19"/>
        <v>43</v>
      </c>
      <c r="H180" s="411">
        <f>6+2+39+4</f>
        <v>51</v>
      </c>
      <c r="I180" s="112">
        <f>2+1+39+1</f>
        <v>43</v>
      </c>
      <c r="J180" s="38"/>
      <c r="K180" s="38"/>
      <c r="L180" s="38"/>
      <c r="M180" s="38"/>
      <c r="N180" s="38"/>
      <c r="O180" s="88"/>
    </row>
    <row r="181" spans="1:15">
      <c r="A181" s="2538"/>
      <c r="B181" s="2079"/>
      <c r="C181" s="479">
        <v>2017</v>
      </c>
      <c r="D181" s="90">
        <f>1+1+1+1+1+1</f>
        <v>6</v>
      </c>
      <c r="E181" s="91">
        <f>1+1</f>
        <v>2</v>
      </c>
      <c r="F181" s="91">
        <f>(1+1+1+1+1+1+1+1+1+1+1+1+1+1+2+1+3+2+1+1+1+1+4+2+2)+1+1+1+1+1+1+1+1+1+1+1+1+1+1+1+1+1+1+1+1+1+1+1+2+1+1+1+2+1+1</f>
        <v>66</v>
      </c>
      <c r="G181" s="284">
        <f t="shared" si="19"/>
        <v>74</v>
      </c>
      <c r="H181" s="411">
        <f>(1+1+1+1+1+1+1+1+1+1+1+1+1+1+2+1+3+2+1+1+1+1+4+2+2)+2+3+2+2+2+2+2+2+2+1+1+1+1+1+1+1+1+1+1+1+1+1+1+1+1+1+1+1+1+1+1+2+1+1+1+2+1+1</f>
        <v>84</v>
      </c>
      <c r="I181" s="600">
        <f>(1+1+1+1+1+1+1+1+1+1+1+1+1+1+2+1+3+2+1+1+1+1+4+2+2)+1+1+1+1+1+1+1+1+1+1+1+1+1+1+1+1+1+1+1+1+1+1+1+1+1+1+1+1+1+1+1+2+1+1+1+2+1+1</f>
        <v>74</v>
      </c>
      <c r="J181" s="91"/>
      <c r="K181" s="91"/>
      <c r="L181" s="91"/>
      <c r="M181" s="91"/>
      <c r="N181" s="91"/>
      <c r="O181" s="603"/>
    </row>
    <row r="182" spans="1:15">
      <c r="A182" s="2538"/>
      <c r="B182" s="2079"/>
      <c r="C182" s="110">
        <v>2018</v>
      </c>
      <c r="D182" s="37"/>
      <c r="E182" s="38"/>
      <c r="F182" s="38"/>
      <c r="G182" s="284">
        <f t="shared" si="19"/>
        <v>0</v>
      </c>
      <c r="H182" s="411"/>
      <c r="I182" s="112"/>
      <c r="J182" s="38"/>
      <c r="K182" s="38"/>
      <c r="L182" s="38"/>
      <c r="M182" s="38"/>
      <c r="N182" s="38"/>
      <c r="O182" s="88"/>
    </row>
    <row r="183" spans="1:15">
      <c r="A183" s="2538"/>
      <c r="B183" s="2079"/>
      <c r="C183" s="110">
        <v>2019</v>
      </c>
      <c r="D183" s="37"/>
      <c r="E183" s="38"/>
      <c r="F183" s="38"/>
      <c r="G183" s="284">
        <f t="shared" si="19"/>
        <v>0</v>
      </c>
      <c r="H183" s="411"/>
      <c r="I183" s="112"/>
      <c r="J183" s="38"/>
      <c r="K183" s="38"/>
      <c r="L183" s="38"/>
      <c r="M183" s="38"/>
      <c r="N183" s="38"/>
      <c r="O183" s="88"/>
    </row>
    <row r="184" spans="1:15">
      <c r="A184" s="2538"/>
      <c r="B184" s="2079"/>
      <c r="C184" s="110">
        <v>2020</v>
      </c>
      <c r="D184" s="37"/>
      <c r="E184" s="38"/>
      <c r="F184" s="38"/>
      <c r="G184" s="284">
        <f t="shared" si="19"/>
        <v>0</v>
      </c>
      <c r="H184" s="411"/>
      <c r="I184" s="112"/>
      <c r="J184" s="38"/>
      <c r="K184" s="38"/>
      <c r="L184" s="38"/>
      <c r="M184" s="38"/>
      <c r="N184" s="38"/>
      <c r="O184" s="88"/>
    </row>
    <row r="185" spans="1:15" ht="278.25" customHeight="1" thickBot="1">
      <c r="A185" s="2539"/>
      <c r="B185" s="2080"/>
      <c r="C185" s="113" t="s">
        <v>13</v>
      </c>
      <c r="D185" s="139">
        <f>SUM(D178:D184)</f>
        <v>7</v>
      </c>
      <c r="E185" s="116">
        <f>SUM(E178:E184)</f>
        <v>5</v>
      </c>
      <c r="F185" s="116">
        <f>SUM(F178:F184)</f>
        <v>107</v>
      </c>
      <c r="G185" s="220">
        <f t="shared" ref="G185:O185" si="20">SUM(G178:G184)</f>
        <v>119</v>
      </c>
      <c r="H185" s="285">
        <f t="shared" si="20"/>
        <v>137</v>
      </c>
      <c r="I185" s="115">
        <f t="shared" si="20"/>
        <v>119</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380" t="s">
        <v>182</v>
      </c>
      <c r="C187" s="1865" t="s">
        <v>9</v>
      </c>
      <c r="D187" s="1867" t="s">
        <v>138</v>
      </c>
      <c r="E187" s="2381"/>
      <c r="F187" s="2381"/>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533"/>
      <c r="B189" s="2536" t="s">
        <v>433</v>
      </c>
      <c r="C189" s="290">
        <v>2014</v>
      </c>
      <c r="D189" s="133"/>
      <c r="E189" s="109"/>
      <c r="F189" s="109"/>
      <c r="G189" s="291">
        <f>SUM(D189:F189)</f>
        <v>0</v>
      </c>
      <c r="H189" s="108"/>
      <c r="I189" s="109"/>
      <c r="J189" s="109"/>
      <c r="K189" s="109"/>
      <c r="L189" s="134"/>
    </row>
    <row r="190" spans="1:15">
      <c r="A190" s="2534"/>
      <c r="B190" s="2079"/>
      <c r="C190" s="73">
        <v>2015</v>
      </c>
      <c r="D190" s="37"/>
      <c r="E190" s="38"/>
      <c r="F190" s="38">
        <v>60</v>
      </c>
      <c r="G190" s="291">
        <f t="shared" ref="G190:G195" si="21">SUM(D190:F190)</f>
        <v>60</v>
      </c>
      <c r="H190" s="112">
        <v>4</v>
      </c>
      <c r="I190" s="38">
        <v>1</v>
      </c>
      <c r="J190" s="38">
        <v>15</v>
      </c>
      <c r="K190" s="38">
        <v>36</v>
      </c>
      <c r="L190" s="88">
        <v>4</v>
      </c>
    </row>
    <row r="191" spans="1:15">
      <c r="A191" s="2534"/>
      <c r="B191" s="2079"/>
      <c r="C191" s="73">
        <v>2016</v>
      </c>
      <c r="D191" s="37">
        <v>30</v>
      </c>
      <c r="E191" s="38">
        <f>70+35</f>
        <v>105</v>
      </c>
      <c r="F191" s="38">
        <v>457</v>
      </c>
      <c r="G191" s="291">
        <f t="shared" si="21"/>
        <v>592</v>
      </c>
      <c r="H191" s="112">
        <f>1+2+1</f>
        <v>4</v>
      </c>
      <c r="I191" s="38">
        <f>7</f>
        <v>7</v>
      </c>
      <c r="J191" s="38">
        <f>19+10+105+9</f>
        <v>143</v>
      </c>
      <c r="K191" s="38">
        <f>42+18+300+25</f>
        <v>385</v>
      </c>
      <c r="L191" s="88">
        <f>7+1+44+1</f>
        <v>53</v>
      </c>
    </row>
    <row r="192" spans="1:15">
      <c r="A192" s="2534"/>
      <c r="B192" s="2079"/>
      <c r="C192" s="1593">
        <v>2017</v>
      </c>
      <c r="D192" s="90">
        <f>30+30+25+78+95+71</f>
        <v>329</v>
      </c>
      <c r="E192" s="91">
        <f>30+30</f>
        <v>60</v>
      </c>
      <c r="F192" s="91">
        <f>(5+10+8+10+40+14+17+20+2+45+3+2+41+13+4+16+4+13+2+4+21+1+50+17+8+3+6+2+19+25+4+3+3+11)+40+40+40+40+20+4+16+40+11+14+24+11+14+4+20+4+71+3+7+1+1+1+20+2+96+12+3+5+1+22</f>
        <v>1033</v>
      </c>
      <c r="G192" s="291">
        <f t="shared" si="21"/>
        <v>1422</v>
      </c>
      <c r="H192" s="600">
        <f>3</f>
        <v>3</v>
      </c>
      <c r="I192" s="91">
        <f>7+2</f>
        <v>9</v>
      </c>
      <c r="J192" s="91">
        <f>(4+1+2+40+1+1+2+1+41+13+2+1+1+1+5+1+1+3+1)+4+3+15+5+10+5+7+1+60+61+2+1+10+41+96+8</f>
        <v>451</v>
      </c>
      <c r="K192" s="91">
        <f>(5+6+7+8+14+17+20+1+44+1+1+4+14+2+12+1+3+21+1+35+17+7+2+6+2+16+24+4+3+3+11)+40+24+40+37+15+25+30+25+18+19+18+4+16+34+38+11+13+24+11+4+4+20+4+27+71+3+7+1+1+1+20+2+4+3+22</f>
        <v>948</v>
      </c>
      <c r="L192" s="603">
        <f>2+3+3+2+1</f>
        <v>11</v>
      </c>
    </row>
    <row r="193" spans="1:14">
      <c r="A193" s="2534"/>
      <c r="B193" s="2079"/>
      <c r="C193" s="73">
        <v>2018</v>
      </c>
      <c r="D193" s="37"/>
      <c r="E193" s="38"/>
      <c r="F193" s="38"/>
      <c r="G193" s="291">
        <f t="shared" si="21"/>
        <v>0</v>
      </c>
      <c r="H193" s="112"/>
      <c r="I193" s="38"/>
      <c r="J193" s="38"/>
      <c r="K193" s="38"/>
      <c r="L193" s="88"/>
    </row>
    <row r="194" spans="1:14">
      <c r="A194" s="2534"/>
      <c r="B194" s="2079"/>
      <c r="C194" s="73">
        <v>2019</v>
      </c>
      <c r="D194" s="37"/>
      <c r="E194" s="38"/>
      <c r="F194" s="38"/>
      <c r="G194" s="291">
        <f t="shared" si="21"/>
        <v>0</v>
      </c>
      <c r="H194" s="112"/>
      <c r="I194" s="38"/>
      <c r="J194" s="38"/>
      <c r="K194" s="38"/>
      <c r="L194" s="88"/>
    </row>
    <row r="195" spans="1:14">
      <c r="A195" s="2534"/>
      <c r="B195" s="2079"/>
      <c r="C195" s="73">
        <v>2020</v>
      </c>
      <c r="D195" s="37"/>
      <c r="E195" s="38"/>
      <c r="F195" s="38"/>
      <c r="G195" s="291">
        <f t="shared" si="21"/>
        <v>0</v>
      </c>
      <c r="H195" s="112"/>
      <c r="I195" s="38"/>
      <c r="J195" s="38"/>
      <c r="K195" s="38"/>
      <c r="L195" s="88"/>
    </row>
    <row r="196" spans="1:14" ht="409.5" customHeight="1" thickBot="1">
      <c r="A196" s="2535"/>
      <c r="B196" s="2080"/>
      <c r="C196" s="136" t="s">
        <v>13</v>
      </c>
      <c r="D196" s="139">
        <f t="shared" ref="D196:L196" si="22">SUM(D189:D195)</f>
        <v>359</v>
      </c>
      <c r="E196" s="116">
        <f t="shared" si="22"/>
        <v>165</v>
      </c>
      <c r="F196" s="116">
        <f t="shared" si="22"/>
        <v>1550</v>
      </c>
      <c r="G196" s="292">
        <f t="shared" si="22"/>
        <v>2074</v>
      </c>
      <c r="H196" s="115">
        <f t="shared" si="22"/>
        <v>11</v>
      </c>
      <c r="I196" s="116">
        <f t="shared" si="22"/>
        <v>17</v>
      </c>
      <c r="J196" s="116">
        <f t="shared" si="22"/>
        <v>609</v>
      </c>
      <c r="K196" s="116">
        <f t="shared" si="22"/>
        <v>1369</v>
      </c>
      <c r="L196" s="117">
        <f t="shared" si="22"/>
        <v>68</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1611" t="s">
        <v>182</v>
      </c>
      <c r="C201" s="298" t="s">
        <v>9</v>
      </c>
      <c r="D201" s="299" t="s">
        <v>151</v>
      </c>
      <c r="E201" s="300" t="s">
        <v>152</v>
      </c>
      <c r="F201" s="300" t="s">
        <v>153</v>
      </c>
      <c r="G201" s="298" t="s">
        <v>154</v>
      </c>
      <c r="H201" s="1575" t="s">
        <v>155</v>
      </c>
      <c r="I201" s="302" t="s">
        <v>156</v>
      </c>
      <c r="J201" s="303" t="s">
        <v>157</v>
      </c>
      <c r="K201" s="300" t="s">
        <v>158</v>
      </c>
      <c r="L201" s="304" t="s">
        <v>159</v>
      </c>
    </row>
    <row r="202" spans="1:14" ht="15" customHeight="1">
      <c r="A202" s="2530"/>
      <c r="B202" s="1973"/>
      <c r="C202" s="72">
        <v>2014</v>
      </c>
      <c r="D202" s="30"/>
      <c r="E202" s="31"/>
      <c r="F202" s="31"/>
      <c r="G202" s="29"/>
      <c r="H202" s="305"/>
      <c r="I202" s="306"/>
      <c r="J202" s="307"/>
      <c r="K202" s="31"/>
      <c r="L202" s="34"/>
    </row>
    <row r="203" spans="1:14">
      <c r="A203" s="2531"/>
      <c r="B203" s="1974"/>
      <c r="C203" s="73">
        <v>2015</v>
      </c>
      <c r="D203" s="37"/>
      <c r="E203" s="38"/>
      <c r="F203" s="38"/>
      <c r="G203" s="36"/>
      <c r="H203" s="308"/>
      <c r="I203" s="309"/>
      <c r="J203" s="310"/>
      <c r="K203" s="38"/>
      <c r="L203" s="88"/>
    </row>
    <row r="204" spans="1:14">
      <c r="A204" s="2531"/>
      <c r="B204" s="1974"/>
      <c r="C204" s="73">
        <v>2016</v>
      </c>
      <c r="D204" s="37"/>
      <c r="E204" s="38"/>
      <c r="F204" s="38"/>
      <c r="G204" s="36"/>
      <c r="H204" s="308"/>
      <c r="I204" s="309"/>
      <c r="J204" s="310"/>
      <c r="K204" s="38"/>
      <c r="L204" s="88"/>
    </row>
    <row r="205" spans="1:14">
      <c r="A205" s="2531"/>
      <c r="B205" s="1974"/>
      <c r="C205" s="1593">
        <v>2017</v>
      </c>
      <c r="D205" s="90"/>
      <c r="E205" s="91"/>
      <c r="F205" s="91"/>
      <c r="G205" s="41"/>
      <c r="H205" s="1612"/>
      <c r="I205" s="1613"/>
      <c r="J205" s="1614"/>
      <c r="K205" s="91"/>
      <c r="L205" s="603"/>
    </row>
    <row r="206" spans="1:14">
      <c r="A206" s="2531"/>
      <c r="B206" s="1974"/>
      <c r="C206" s="73">
        <v>2018</v>
      </c>
      <c r="D206" s="37"/>
      <c r="E206" s="38"/>
      <c r="F206" s="38"/>
      <c r="G206" s="36"/>
      <c r="H206" s="308"/>
      <c r="I206" s="309"/>
      <c r="J206" s="310"/>
      <c r="K206" s="38"/>
      <c r="L206" s="88"/>
    </row>
    <row r="207" spans="1:14">
      <c r="A207" s="2531"/>
      <c r="B207" s="1974"/>
      <c r="C207" s="73">
        <v>2019</v>
      </c>
      <c r="D207" s="37"/>
      <c r="E207" s="38"/>
      <c r="F207" s="38"/>
      <c r="G207" s="36"/>
      <c r="H207" s="308"/>
      <c r="I207" s="309"/>
      <c r="J207" s="310"/>
      <c r="K207" s="38"/>
      <c r="L207" s="88"/>
    </row>
    <row r="208" spans="1:14">
      <c r="A208" s="2531"/>
      <c r="B208" s="1974"/>
      <c r="C208" s="73">
        <v>2020</v>
      </c>
      <c r="D208" s="1533"/>
      <c r="E208" s="312"/>
      <c r="F208" s="312"/>
      <c r="G208" s="313"/>
      <c r="H208" s="314"/>
      <c r="I208" s="315"/>
      <c r="J208" s="316"/>
      <c r="K208" s="312"/>
      <c r="L208" s="317"/>
    </row>
    <row r="209" spans="1:12" ht="20.25" customHeight="1" thickBot="1">
      <c r="A209" s="2532"/>
      <c r="B209" s="1975"/>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576" t="s">
        <v>161</v>
      </c>
      <c r="B212" s="322" t="s">
        <v>162</v>
      </c>
      <c r="C212" s="323">
        <v>2014</v>
      </c>
      <c r="D212" s="324">
        <v>2015</v>
      </c>
      <c r="E212" s="324">
        <v>2016</v>
      </c>
      <c r="F212" s="324">
        <v>2017</v>
      </c>
      <c r="G212" s="324">
        <v>2018</v>
      </c>
      <c r="H212" s="324">
        <v>2019</v>
      </c>
      <c r="I212" s="325">
        <v>2020</v>
      </c>
    </row>
    <row r="213" spans="1:12" ht="15" customHeight="1">
      <c r="A213" t="s">
        <v>163</v>
      </c>
      <c r="B213" s="2078" t="s">
        <v>434</v>
      </c>
      <c r="C213" s="72"/>
      <c r="D213" s="328">
        <f>D214+D215+D216+D217</f>
        <v>7464.17</v>
      </c>
      <c r="E213" s="328">
        <f>E217+E214+E215+E216</f>
        <v>162008.51</v>
      </c>
      <c r="F213" s="606">
        <f>F214+F215+F216+F217</f>
        <v>131271.59</v>
      </c>
      <c r="G213" s="135"/>
      <c r="H213" s="135"/>
      <c r="I213" s="326"/>
    </row>
    <row r="214" spans="1:12">
      <c r="A214" t="s">
        <v>164</v>
      </c>
      <c r="B214" s="2079"/>
      <c r="C214" s="72"/>
      <c r="D214" s="328">
        <v>7464.17</v>
      </c>
      <c r="E214" s="328">
        <v>0</v>
      </c>
      <c r="F214" s="606">
        <v>0</v>
      </c>
      <c r="G214" s="135"/>
      <c r="H214" s="135"/>
      <c r="I214" s="326"/>
    </row>
    <row r="215" spans="1:12">
      <c r="A215" t="s">
        <v>165</v>
      </c>
      <c r="B215" s="2079"/>
      <c r="C215" s="72"/>
      <c r="D215" s="328">
        <v>0</v>
      </c>
      <c r="E215" s="328">
        <v>0</v>
      </c>
      <c r="F215" s="606">
        <v>0</v>
      </c>
      <c r="G215" s="135"/>
      <c r="H215" s="135"/>
      <c r="I215" s="326"/>
    </row>
    <row r="216" spans="1:12">
      <c r="A216" t="s">
        <v>166</v>
      </c>
      <c r="B216" s="2079"/>
      <c r="C216" s="72"/>
      <c r="D216" s="328">
        <v>0</v>
      </c>
      <c r="E216" s="328">
        <v>0</v>
      </c>
      <c r="F216" s="606">
        <v>9780</v>
      </c>
      <c r="G216" s="135"/>
      <c r="H216" s="135"/>
      <c r="I216" s="326"/>
    </row>
    <row r="217" spans="1:12">
      <c r="A217" t="s">
        <v>167</v>
      </c>
      <c r="B217" s="2079"/>
      <c r="C217" s="72"/>
      <c r="D217" s="328">
        <v>0</v>
      </c>
      <c r="E217" s="328">
        <f>3000+98.6+2583+615.6+149420+4450+1841.31</f>
        <v>162008.51</v>
      </c>
      <c r="F217" s="606">
        <v>121491.59</v>
      </c>
      <c r="G217" s="135"/>
      <c r="H217" s="135"/>
      <c r="I217" s="326"/>
    </row>
    <row r="218" spans="1:12" ht="409.5" customHeight="1">
      <c r="A218" s="1535" t="s">
        <v>168</v>
      </c>
      <c r="B218" s="2079"/>
      <c r="C218" s="72"/>
      <c r="D218" s="573">
        <v>97074.52</v>
      </c>
      <c r="E218" s="573">
        <f>60023.08+10030.78+1446.89+4967.77</f>
        <v>76468.52</v>
      </c>
      <c r="F218" s="1615">
        <v>155638.44</v>
      </c>
      <c r="G218" s="135"/>
      <c r="H218" s="135"/>
      <c r="I218" s="326"/>
    </row>
    <row r="219" spans="1:12" ht="409.5" customHeight="1" thickBot="1">
      <c r="A219" s="1532"/>
      <c r="B219" s="2080"/>
      <c r="C219" s="42" t="s">
        <v>13</v>
      </c>
      <c r="D219" s="332">
        <f>SUM(D214:D218)</f>
        <v>104538.69</v>
      </c>
      <c r="E219" s="332">
        <f t="shared" ref="E219:I219" si="24">SUM(E214:E218)</f>
        <v>238477.03000000003</v>
      </c>
      <c r="F219" s="1583">
        <f t="shared" si="24"/>
        <v>286910.03000000003</v>
      </c>
      <c r="G219" s="333">
        <f t="shared" si="24"/>
        <v>0</v>
      </c>
      <c r="H219" s="333">
        <f t="shared" si="24"/>
        <v>0</v>
      </c>
      <c r="I219" s="451">
        <f t="shared" si="24"/>
        <v>0</v>
      </c>
    </row>
    <row r="227" spans="1:1">
      <c r="A227" s="56"/>
    </row>
  </sheetData>
  <mergeCells count="74">
    <mergeCell ref="A50:A58"/>
    <mergeCell ref="B50:B58"/>
    <mergeCell ref="B1:F1"/>
    <mergeCell ref="F3:O3"/>
    <mergeCell ref="A4:O10"/>
    <mergeCell ref="D15:G15"/>
    <mergeCell ref="A17:A24"/>
    <mergeCell ref="B17:B24"/>
    <mergeCell ref="D26:G26"/>
    <mergeCell ref="A28:A35"/>
    <mergeCell ref="B28:B35"/>
    <mergeCell ref="A40:A47"/>
    <mergeCell ref="B40:B47"/>
    <mergeCell ref="A60:A61"/>
    <mergeCell ref="B60:B61"/>
    <mergeCell ref="C60:C61"/>
    <mergeCell ref="D60:D61"/>
    <mergeCell ref="A62:A69"/>
    <mergeCell ref="B62:B69"/>
    <mergeCell ref="A72:A79"/>
    <mergeCell ref="B72:B79"/>
    <mergeCell ref="A85:A92"/>
    <mergeCell ref="B85:B92"/>
    <mergeCell ref="A96:A97"/>
    <mergeCell ref="B96:B9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J142:N142"/>
    <mergeCell ref="A144:A151"/>
    <mergeCell ref="B144:B151"/>
    <mergeCell ref="A120:A127"/>
    <mergeCell ref="B120:B127"/>
    <mergeCell ref="A129:A130"/>
    <mergeCell ref="B129:B130"/>
    <mergeCell ref="A131:A137"/>
    <mergeCell ref="B131:B137"/>
    <mergeCell ref="A165:A172"/>
    <mergeCell ref="B165:B172"/>
    <mergeCell ref="A142:A143"/>
    <mergeCell ref="B142:B143"/>
    <mergeCell ref="C142:C143"/>
    <mergeCell ref="A153:A154"/>
    <mergeCell ref="B153:B154"/>
    <mergeCell ref="C153:C154"/>
    <mergeCell ref="A155:A162"/>
    <mergeCell ref="B155:B162"/>
    <mergeCell ref="A176:A177"/>
    <mergeCell ref="B176:B177"/>
    <mergeCell ref="C176:C177"/>
    <mergeCell ref="I176:O176"/>
    <mergeCell ref="A178:A185"/>
    <mergeCell ref="B178:B185"/>
    <mergeCell ref="C187:C188"/>
    <mergeCell ref="D187:G187"/>
    <mergeCell ref="H187:L187"/>
    <mergeCell ref="A189:A196"/>
    <mergeCell ref="B189:B196"/>
    <mergeCell ref="A202:A209"/>
    <mergeCell ref="B202:B209"/>
    <mergeCell ref="B213:B219"/>
    <mergeCell ref="A187:A188"/>
    <mergeCell ref="B187:B18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8" zoomScale="80" zoomScaleNormal="80" workbookViewId="0">
      <selection activeCell="F214" sqref="F214:F2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435</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586"/>
      <c r="B15" s="1587"/>
      <c r="C15" s="10"/>
      <c r="D15" s="1953" t="s">
        <v>5</v>
      </c>
      <c r="E15" s="2422"/>
      <c r="F15" s="2422"/>
      <c r="G15" s="242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436</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6</v>
      </c>
      <c r="E18" s="38"/>
      <c r="F18" s="38"/>
      <c r="G18" s="32">
        <f>SUM(D18:F18)</f>
        <v>6</v>
      </c>
      <c r="H18" s="39">
        <v>6</v>
      </c>
      <c r="I18" s="38"/>
      <c r="J18" s="38"/>
      <c r="K18" s="38"/>
      <c r="L18" s="38"/>
      <c r="M18" s="38"/>
      <c r="N18" s="38"/>
      <c r="O18" s="40"/>
      <c r="P18" s="35"/>
      <c r="Q18" s="35"/>
      <c r="R18" s="35"/>
      <c r="S18" s="35"/>
      <c r="T18" s="35"/>
      <c r="U18" s="35"/>
      <c r="V18" s="35"/>
      <c r="W18" s="35"/>
      <c r="X18" s="35"/>
      <c r="Y18" s="35"/>
    </row>
    <row r="19" spans="1:25">
      <c r="A19" s="1854"/>
      <c r="B19" s="1855"/>
      <c r="C19" s="36">
        <v>2016</v>
      </c>
      <c r="D19" s="37">
        <v>20</v>
      </c>
      <c r="E19" s="38">
        <v>4</v>
      </c>
      <c r="F19" s="38">
        <v>3</v>
      </c>
      <c r="G19" s="32">
        <f t="shared" si="0"/>
        <v>27</v>
      </c>
      <c r="H19" s="39">
        <v>26</v>
      </c>
      <c r="I19" s="38">
        <v>1</v>
      </c>
      <c r="J19" s="38"/>
      <c r="K19" s="38"/>
      <c r="L19" s="38"/>
      <c r="M19" s="38"/>
      <c r="N19" s="38"/>
      <c r="O19" s="40"/>
      <c r="P19" s="35"/>
      <c r="Q19" s="35"/>
      <c r="R19" s="35"/>
      <c r="S19" s="35"/>
      <c r="T19" s="35"/>
      <c r="U19" s="35"/>
      <c r="V19" s="35"/>
      <c r="W19" s="35"/>
      <c r="X19" s="35"/>
      <c r="Y19" s="35"/>
    </row>
    <row r="20" spans="1:25">
      <c r="A20" s="1854"/>
      <c r="B20" s="1855"/>
      <c r="C20" s="36">
        <v>2017</v>
      </c>
      <c r="D20" s="37">
        <v>14</v>
      </c>
      <c r="E20" s="38">
        <v>3</v>
      </c>
      <c r="F20" s="38">
        <v>2</v>
      </c>
      <c r="G20" s="32">
        <f t="shared" si="0"/>
        <v>19</v>
      </c>
      <c r="H20" s="39">
        <v>18</v>
      </c>
      <c r="I20" s="38">
        <v>1</v>
      </c>
      <c r="J20" s="38"/>
      <c r="K20" s="38"/>
      <c r="L20" s="38"/>
      <c r="M20" s="38"/>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282" customHeight="1" thickBot="1">
      <c r="A24" s="1856"/>
      <c r="B24" s="1857"/>
      <c r="C24" s="42" t="s">
        <v>13</v>
      </c>
      <c r="D24" s="43">
        <f>SUM(D17:D23)</f>
        <v>40</v>
      </c>
      <c r="E24" s="44">
        <f>SUM(E17:E23)</f>
        <v>7</v>
      </c>
      <c r="F24" s="44">
        <f>SUM(F17:F23)</f>
        <v>5</v>
      </c>
      <c r="G24" s="45">
        <f>SUM(D24:F24)</f>
        <v>52</v>
      </c>
      <c r="H24" s="46">
        <f>SUM(H17:H23)</f>
        <v>50</v>
      </c>
      <c r="I24" s="47">
        <f>SUM(I17:I23)</f>
        <v>2</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24" customHeight="1" thickBot="1">
      <c r="C25" s="49"/>
      <c r="H25" s="7"/>
      <c r="I25" s="7"/>
      <c r="J25" s="7"/>
      <c r="K25" s="7"/>
      <c r="L25" s="7"/>
      <c r="M25" s="7"/>
      <c r="N25" s="7"/>
      <c r="O25" s="7"/>
      <c r="P25" s="7"/>
      <c r="Q25" s="7"/>
    </row>
    <row r="26" spans="1:25" s="51" customFormat="1" ht="30.75" customHeight="1">
      <c r="A26" s="1586"/>
      <c r="B26" s="1587"/>
      <c r="C26" s="50"/>
      <c r="D26" s="1959" t="s">
        <v>5</v>
      </c>
      <c r="E26" s="2424"/>
      <c r="F26" s="2424"/>
      <c r="G26" s="2425"/>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437</v>
      </c>
      <c r="B28" s="2568"/>
      <c r="C28" s="57">
        <v>2014</v>
      </c>
      <c r="D28" s="33"/>
      <c r="E28" s="31"/>
      <c r="F28" s="31"/>
      <c r="G28" s="58">
        <f>SUM(D28:F28)</f>
        <v>0</v>
      </c>
      <c r="H28" s="35"/>
      <c r="I28" s="35"/>
      <c r="J28" s="35"/>
      <c r="K28" s="35"/>
      <c r="L28" s="35"/>
      <c r="M28" s="35"/>
      <c r="N28" s="35"/>
      <c r="O28" s="35"/>
      <c r="P28" s="35"/>
      <c r="Q28" s="7"/>
    </row>
    <row r="29" spans="1:25">
      <c r="A29" s="1874"/>
      <c r="B29" s="2568"/>
      <c r="C29" s="59">
        <v>2015</v>
      </c>
      <c r="D29" s="39">
        <v>636</v>
      </c>
      <c r="E29" s="38"/>
      <c r="F29" s="38"/>
      <c r="G29" s="58">
        <f t="shared" ref="G29:G35" si="2">SUM(D29:F29)</f>
        <v>636</v>
      </c>
      <c r="H29" s="35"/>
      <c r="I29" s="35"/>
      <c r="J29" s="35"/>
      <c r="K29" s="35"/>
      <c r="L29" s="35"/>
      <c r="M29" s="35"/>
      <c r="N29" s="35"/>
      <c r="O29" s="35"/>
      <c r="P29" s="35"/>
      <c r="Q29" s="7"/>
    </row>
    <row r="30" spans="1:25">
      <c r="A30" s="1874"/>
      <c r="B30" s="2568"/>
      <c r="C30" s="59">
        <v>2016</v>
      </c>
      <c r="D30" s="39">
        <v>3895</v>
      </c>
      <c r="E30" s="38">
        <v>41613</v>
      </c>
      <c r="F30" s="38">
        <v>35948</v>
      </c>
      <c r="G30" s="58">
        <f t="shared" si="2"/>
        <v>81456</v>
      </c>
      <c r="H30" s="35"/>
      <c r="I30" s="35"/>
      <c r="J30" s="35"/>
      <c r="K30" s="35"/>
      <c r="L30" s="35"/>
      <c r="M30" s="35"/>
      <c r="N30" s="35"/>
      <c r="O30" s="35"/>
      <c r="P30" s="35"/>
      <c r="Q30" s="7"/>
    </row>
    <row r="31" spans="1:25">
      <c r="A31" s="1874"/>
      <c r="B31" s="2568"/>
      <c r="C31" s="59">
        <v>2017</v>
      </c>
      <c r="D31" s="39">
        <v>500</v>
      </c>
      <c r="E31" s="38">
        <v>35455</v>
      </c>
      <c r="F31" s="38">
        <v>30654</v>
      </c>
      <c r="G31" s="58">
        <f t="shared" si="2"/>
        <v>66609</v>
      </c>
      <c r="H31" s="35"/>
      <c r="I31" s="35"/>
      <c r="J31" s="35"/>
      <c r="K31" s="35"/>
      <c r="L31" s="35"/>
      <c r="M31" s="35"/>
      <c r="N31" s="35"/>
      <c r="O31" s="35"/>
      <c r="P31" s="35"/>
      <c r="Q31" s="7"/>
    </row>
    <row r="32" spans="1:25">
      <c r="A32" s="1874"/>
      <c r="B32" s="2568"/>
      <c r="C32" s="59">
        <v>2018</v>
      </c>
      <c r="D32" s="39"/>
      <c r="E32" s="38"/>
      <c r="F32" s="38"/>
      <c r="G32" s="58">
        <f>SUM(D32:F32)</f>
        <v>0</v>
      </c>
      <c r="H32" s="35"/>
      <c r="I32" s="35"/>
      <c r="J32" s="35"/>
      <c r="K32" s="35"/>
      <c r="L32" s="35"/>
      <c r="M32" s="35"/>
      <c r="N32" s="35"/>
      <c r="O32" s="35"/>
      <c r="P32" s="35"/>
      <c r="Q32" s="7"/>
    </row>
    <row r="33" spans="1:17">
      <c r="A33" s="1874"/>
      <c r="B33" s="2568"/>
      <c r="C33" s="60">
        <v>2019</v>
      </c>
      <c r="D33" s="39"/>
      <c r="E33" s="38"/>
      <c r="F33" s="38"/>
      <c r="G33" s="58">
        <f t="shared" si="2"/>
        <v>0</v>
      </c>
      <c r="H33" s="35"/>
      <c r="I33" s="35"/>
      <c r="J33" s="35"/>
      <c r="K33" s="35"/>
      <c r="L33" s="35"/>
      <c r="M33" s="35"/>
      <c r="N33" s="35"/>
      <c r="O33" s="35"/>
      <c r="P33" s="35"/>
      <c r="Q33" s="7"/>
    </row>
    <row r="34" spans="1:17">
      <c r="A34" s="1874"/>
      <c r="B34" s="2568"/>
      <c r="C34" s="59">
        <v>2020</v>
      </c>
      <c r="D34" s="39"/>
      <c r="E34" s="38"/>
      <c r="F34" s="38"/>
      <c r="G34" s="58">
        <f t="shared" si="2"/>
        <v>0</v>
      </c>
      <c r="H34" s="35"/>
      <c r="I34" s="35"/>
      <c r="J34" s="35"/>
      <c r="K34" s="35"/>
      <c r="L34" s="35"/>
      <c r="M34" s="35"/>
      <c r="N34" s="35"/>
      <c r="O34" s="35"/>
      <c r="P34" s="35"/>
      <c r="Q34" s="7"/>
    </row>
    <row r="35" spans="1:17" ht="374.25" customHeight="1" thickBot="1">
      <c r="A35" s="1876"/>
      <c r="B35" s="2569"/>
      <c r="C35" s="61" t="s">
        <v>13</v>
      </c>
      <c r="D35" s="46">
        <f>SUM(D28:D34)</f>
        <v>5031</v>
      </c>
      <c r="E35" s="44">
        <f>SUM(E28:E34)</f>
        <v>77068</v>
      </c>
      <c r="F35" s="44">
        <f>SUM(F28:F34)</f>
        <v>66602</v>
      </c>
      <c r="G35" s="48">
        <f t="shared" si="2"/>
        <v>148701</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6.5" customHeight="1" thickBot="1">
      <c r="G38" s="35"/>
      <c r="H38" s="35"/>
    </row>
    <row r="39" spans="1:17" ht="88.5" customHeight="1">
      <c r="A39" s="1544" t="s">
        <v>26</v>
      </c>
      <c r="B39" s="1545" t="s">
        <v>171</v>
      </c>
      <c r="C39" s="68" t="s">
        <v>9</v>
      </c>
      <c r="D39" s="69" t="s">
        <v>28</v>
      </c>
      <c r="E39" s="70" t="s">
        <v>29</v>
      </c>
      <c r="F39" s="71"/>
      <c r="G39" s="28"/>
      <c r="H39" s="28"/>
    </row>
    <row r="40" spans="1:17">
      <c r="A40" s="1874" t="s">
        <v>438</v>
      </c>
      <c r="B40" s="1855"/>
      <c r="C40" s="72">
        <v>2014</v>
      </c>
      <c r="D40" s="30"/>
      <c r="E40" s="29"/>
      <c r="F40" s="7"/>
      <c r="G40" s="35"/>
      <c r="H40" s="35"/>
    </row>
    <row r="41" spans="1:17">
      <c r="A41" s="1854"/>
      <c r="B41" s="1855"/>
      <c r="C41" s="73">
        <v>2015</v>
      </c>
      <c r="D41" s="37"/>
      <c r="E41" s="36"/>
      <c r="F41" s="7"/>
      <c r="G41" s="35"/>
      <c r="H41" s="35"/>
    </row>
    <row r="42" spans="1:17">
      <c r="A42" s="1854"/>
      <c r="B42" s="1855"/>
      <c r="C42" s="73">
        <v>2016</v>
      </c>
      <c r="D42" s="37">
        <v>851</v>
      </c>
      <c r="E42" s="36">
        <v>403</v>
      </c>
      <c r="F42" s="7"/>
      <c r="G42" s="35"/>
      <c r="H42" s="35"/>
    </row>
    <row r="43" spans="1:17">
      <c r="A43" s="1854"/>
      <c r="B43" s="1855"/>
      <c r="C43" s="73">
        <v>2017</v>
      </c>
      <c r="D43" s="37">
        <v>703</v>
      </c>
      <c r="E43" s="36">
        <v>453</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1554</v>
      </c>
      <c r="E47" s="455">
        <f>SUM(E40:E46)</f>
        <v>856</v>
      </c>
      <c r="F47" s="78"/>
      <c r="G47" s="35"/>
      <c r="H47" s="35"/>
    </row>
    <row r="48" spans="1:17" s="35" customFormat="1" ht="15.75" thickBot="1">
      <c r="A48" s="1595"/>
      <c r="B48" s="80"/>
      <c r="C48" s="81"/>
    </row>
    <row r="49" spans="1:15" ht="83.25" customHeight="1">
      <c r="A49" s="82" t="s">
        <v>32</v>
      </c>
      <c r="B49" s="1545"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427" t="s">
        <v>44</v>
      </c>
      <c r="B60" s="1616"/>
      <c r="C60" s="2429" t="s">
        <v>9</v>
      </c>
      <c r="D60" s="2417" t="s">
        <v>45</v>
      </c>
      <c r="E60" s="96" t="s">
        <v>6</v>
      </c>
      <c r="F60" s="1542"/>
      <c r="G60" s="1542"/>
      <c r="H60" s="1542"/>
      <c r="I60" s="1542"/>
      <c r="J60" s="1542"/>
      <c r="K60" s="1542"/>
      <c r="L60" s="1543"/>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439</v>
      </c>
      <c r="B62" s="1899"/>
      <c r="C62" s="106">
        <v>2014</v>
      </c>
      <c r="D62" s="107"/>
      <c r="E62" s="108"/>
      <c r="F62" s="109"/>
      <c r="G62" s="109"/>
      <c r="H62" s="109"/>
      <c r="I62" s="109"/>
      <c r="J62" s="109"/>
      <c r="K62" s="109"/>
      <c r="L62" s="34"/>
      <c r="M62" s="7"/>
      <c r="N62" s="7"/>
      <c r="O62" s="7"/>
    </row>
    <row r="63" spans="1:15">
      <c r="A63" s="1891"/>
      <c r="B63" s="1899"/>
      <c r="C63" s="110">
        <v>2015</v>
      </c>
      <c r="D63" s="111">
        <v>3</v>
      </c>
      <c r="E63" s="112">
        <v>3</v>
      </c>
      <c r="F63" s="38"/>
      <c r="G63" s="38"/>
      <c r="H63" s="38"/>
      <c r="I63" s="38"/>
      <c r="J63" s="38"/>
      <c r="K63" s="38"/>
      <c r="L63" s="88"/>
      <c r="M63" s="7"/>
      <c r="N63" s="7"/>
      <c r="O63" s="7"/>
    </row>
    <row r="64" spans="1:15">
      <c r="A64" s="1891"/>
      <c r="B64" s="1899"/>
      <c r="C64" s="110">
        <v>2016</v>
      </c>
      <c r="D64" s="111">
        <v>19</v>
      </c>
      <c r="E64" s="112">
        <v>19</v>
      </c>
      <c r="F64" s="38"/>
      <c r="G64" s="38"/>
      <c r="H64" s="38"/>
      <c r="I64" s="38"/>
      <c r="J64" s="38"/>
      <c r="K64" s="38"/>
      <c r="L64" s="88"/>
      <c r="M64" s="7"/>
      <c r="N64" s="7"/>
      <c r="O64" s="7"/>
    </row>
    <row r="65" spans="1:20">
      <c r="A65" s="1891"/>
      <c r="B65" s="1899"/>
      <c r="C65" s="110">
        <v>2017</v>
      </c>
      <c r="D65" s="111">
        <v>12</v>
      </c>
      <c r="E65" s="112">
        <v>12</v>
      </c>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34</v>
      </c>
      <c r="E69" s="115">
        <f>SUM(E62:E68)</f>
        <v>34</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545"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546" t="s">
        <v>56</v>
      </c>
      <c r="B84" s="1547" t="s">
        <v>178</v>
      </c>
      <c r="C84" s="149" t="s">
        <v>9</v>
      </c>
      <c r="D84" s="150" t="s">
        <v>58</v>
      </c>
      <c r="E84" s="151" t="s">
        <v>59</v>
      </c>
      <c r="F84" s="152" t="s">
        <v>60</v>
      </c>
      <c r="G84" s="152" t="s">
        <v>61</v>
      </c>
      <c r="H84" s="152" t="s">
        <v>62</v>
      </c>
      <c r="I84" s="152" t="s">
        <v>63</v>
      </c>
      <c r="J84" s="152" t="s">
        <v>64</v>
      </c>
      <c r="K84" s="153" t="s">
        <v>65</v>
      </c>
    </row>
    <row r="85" spans="1:16" ht="15" customHeight="1">
      <c r="A85" s="1939" t="s">
        <v>440</v>
      </c>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v>8</v>
      </c>
      <c r="E87" s="112">
        <v>8</v>
      </c>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8</v>
      </c>
      <c r="E92" s="115">
        <f t="shared" si="7"/>
        <v>8</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1916" t="s">
        <v>70</v>
      </c>
      <c r="E96" s="1917"/>
      <c r="F96" s="162" t="s">
        <v>71</v>
      </c>
      <c r="G96" s="1548"/>
      <c r="H96" s="1548"/>
      <c r="I96" s="1548"/>
      <c r="J96" s="1548"/>
      <c r="K96" s="1548"/>
      <c r="L96" s="1548"/>
      <c r="M96" s="1549"/>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78</v>
      </c>
      <c r="E107" s="162" t="s">
        <v>79</v>
      </c>
      <c r="F107" s="1548"/>
      <c r="G107" s="1548"/>
      <c r="H107" s="1548"/>
      <c r="I107" s="1548"/>
      <c r="J107" s="1548"/>
      <c r="K107" s="1548"/>
      <c r="L107" s="1549"/>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t="s">
        <v>441</v>
      </c>
      <c r="B109" s="1899"/>
      <c r="C109" s="106">
        <v>2014</v>
      </c>
      <c r="D109" s="31"/>
      <c r="E109" s="174"/>
      <c r="F109" s="175"/>
      <c r="G109" s="175"/>
      <c r="H109" s="175"/>
      <c r="I109" s="175"/>
      <c r="J109" s="175"/>
      <c r="K109" s="175"/>
      <c r="L109" s="176"/>
      <c r="M109" s="185"/>
      <c r="N109" s="185"/>
    </row>
    <row r="110" spans="1:16">
      <c r="A110" s="1891"/>
      <c r="B110" s="1899"/>
      <c r="C110" s="110">
        <v>2015</v>
      </c>
      <c r="D110" s="38">
        <v>16</v>
      </c>
      <c r="E110" s="177">
        <v>16</v>
      </c>
      <c r="F110" s="178"/>
      <c r="G110" s="178"/>
      <c r="H110" s="178"/>
      <c r="I110" s="178"/>
      <c r="J110" s="178"/>
      <c r="K110" s="178"/>
      <c r="L110" s="179"/>
      <c r="M110" s="185"/>
      <c r="N110" s="185"/>
    </row>
    <row r="111" spans="1:16">
      <c r="A111" s="1891"/>
      <c r="B111" s="1899"/>
      <c r="C111" s="110">
        <v>2016</v>
      </c>
      <c r="D111" s="38">
        <v>12</v>
      </c>
      <c r="E111" s="177">
        <v>12</v>
      </c>
      <c r="F111" s="178"/>
      <c r="G111" s="178"/>
      <c r="H111" s="178"/>
      <c r="I111" s="178"/>
      <c r="J111" s="178"/>
      <c r="K111" s="178"/>
      <c r="L111" s="179"/>
      <c r="M111" s="185"/>
      <c r="N111" s="185"/>
    </row>
    <row r="112" spans="1:16">
      <c r="A112" s="1891"/>
      <c r="B112" s="1899"/>
      <c r="C112" s="110">
        <v>2017</v>
      </c>
      <c r="D112" s="38">
        <v>44</v>
      </c>
      <c r="E112" s="177">
        <v>44</v>
      </c>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78" customHeight="1" thickBot="1">
      <c r="A116" s="1915"/>
      <c r="B116" s="1900"/>
      <c r="C116" s="113" t="s">
        <v>13</v>
      </c>
      <c r="D116" s="116">
        <f t="shared" ref="D116:I116" si="9">SUM(D109:D115)</f>
        <v>72</v>
      </c>
      <c r="E116" s="180">
        <f t="shared" si="9"/>
        <v>72</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62" t="s">
        <v>79</v>
      </c>
      <c r="F118" s="1548"/>
      <c r="G118" s="1548"/>
      <c r="H118" s="1548"/>
      <c r="I118" s="1548"/>
      <c r="J118" s="1548"/>
      <c r="K118" s="1548"/>
      <c r="L118" s="1549"/>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550" t="s">
        <v>9</v>
      </c>
      <c r="D129" s="189" t="s">
        <v>85</v>
      </c>
      <c r="E129" s="1551"/>
      <c r="F129" s="1551"/>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v>97</v>
      </c>
      <c r="F132" s="38"/>
      <c r="G132" s="195">
        <f t="shared" si="11"/>
        <v>97</v>
      </c>
      <c r="H132" s="185"/>
      <c r="I132" s="185"/>
      <c r="J132" s="185"/>
      <c r="K132" s="185"/>
      <c r="L132" s="185"/>
      <c r="M132" s="185"/>
      <c r="N132" s="185"/>
    </row>
    <row r="133" spans="1:16">
      <c r="A133" s="1854"/>
      <c r="B133" s="1855"/>
      <c r="C133" s="110">
        <v>2017</v>
      </c>
      <c r="D133" s="37"/>
      <c r="E133" s="38">
        <v>244</v>
      </c>
      <c r="F133" s="38"/>
      <c r="G133" s="195">
        <f t="shared" si="11"/>
        <v>244</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341</v>
      </c>
      <c r="F137" s="139">
        <f t="shared" si="12"/>
        <v>0</v>
      </c>
      <c r="G137" s="196">
        <f>SUM(G131:G136)</f>
        <v>341</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566"/>
      <c r="F163" s="165"/>
      <c r="G163" s="165"/>
      <c r="H163" s="165"/>
      <c r="I163" s="165"/>
      <c r="J163" s="241"/>
      <c r="K163" s="242"/>
    </row>
    <row r="164" spans="1:18" ht="95.25" customHeight="1">
      <c r="A164" s="243" t="s">
        <v>115</v>
      </c>
      <c r="B164" s="405" t="s">
        <v>181</v>
      </c>
      <c r="C164" s="1567" t="s">
        <v>9</v>
      </c>
      <c r="D164" s="246" t="s">
        <v>117</v>
      </c>
      <c r="E164" s="246" t="s">
        <v>118</v>
      </c>
      <c r="F164" s="1568"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273" t="s">
        <v>128</v>
      </c>
      <c r="E176" s="1572"/>
      <c r="F176" s="1572"/>
      <c r="G176" s="1573"/>
      <c r="H176" s="276"/>
      <c r="I176" s="1888" t="s">
        <v>129</v>
      </c>
      <c r="J176" s="2393"/>
      <c r="K176" s="2393"/>
      <c r="L176" s="2393"/>
      <c r="M176" s="2393"/>
      <c r="N176" s="2393"/>
      <c r="O176" s="2394"/>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442</v>
      </c>
      <c r="B178" s="2218"/>
      <c r="C178" s="106">
        <v>2014</v>
      </c>
      <c r="D178" s="30"/>
      <c r="E178" s="31"/>
      <c r="F178" s="31"/>
      <c r="G178" s="284">
        <f>SUM(D178:F178)</f>
        <v>0</v>
      </c>
      <c r="H178" s="155"/>
      <c r="I178" s="155"/>
      <c r="J178" s="31"/>
      <c r="K178" s="31"/>
      <c r="L178" s="31"/>
      <c r="M178" s="31"/>
      <c r="N178" s="31"/>
      <c r="O178" s="34"/>
    </row>
    <row r="179" spans="1:15">
      <c r="A179" s="1891"/>
      <c r="B179" s="2218"/>
      <c r="C179" s="110">
        <v>2015</v>
      </c>
      <c r="D179" s="37"/>
      <c r="E179" s="38"/>
      <c r="F179" s="38"/>
      <c r="G179" s="284">
        <f t="shared" ref="G179:G184" si="19">SUM(D179:F179)</f>
        <v>0</v>
      </c>
      <c r="H179" s="411"/>
      <c r="I179" s="112"/>
      <c r="J179" s="38"/>
      <c r="K179" s="38"/>
      <c r="L179" s="38"/>
      <c r="M179" s="38"/>
      <c r="N179" s="38"/>
      <c r="O179" s="88"/>
    </row>
    <row r="180" spans="1:15">
      <c r="A180" s="1891"/>
      <c r="B180" s="2218"/>
      <c r="C180" s="110">
        <v>2016</v>
      </c>
      <c r="D180" s="37">
        <v>18</v>
      </c>
      <c r="E180" s="38"/>
      <c r="F180" s="38">
        <v>1</v>
      </c>
      <c r="G180" s="284">
        <f t="shared" si="19"/>
        <v>19</v>
      </c>
      <c r="H180" s="411">
        <v>19</v>
      </c>
      <c r="I180" s="112">
        <v>19</v>
      </c>
      <c r="J180" s="38"/>
      <c r="K180" s="38"/>
      <c r="L180" s="38"/>
      <c r="M180" s="38"/>
      <c r="N180" s="38"/>
      <c r="O180" s="88"/>
    </row>
    <row r="181" spans="1:15">
      <c r="A181" s="1891"/>
      <c r="B181" s="2218"/>
      <c r="C181" s="110">
        <v>2017</v>
      </c>
      <c r="D181" s="37">
        <v>6</v>
      </c>
      <c r="E181" s="38"/>
      <c r="F181" s="38"/>
      <c r="G181" s="284">
        <f t="shared" si="19"/>
        <v>6</v>
      </c>
      <c r="H181" s="411">
        <v>6</v>
      </c>
      <c r="I181" s="112">
        <v>6</v>
      </c>
      <c r="J181" s="38"/>
      <c r="K181" s="38"/>
      <c r="L181" s="38"/>
      <c r="M181" s="38"/>
      <c r="N181" s="38"/>
      <c r="O181" s="88"/>
    </row>
    <row r="182" spans="1:15">
      <c r="A182" s="1891"/>
      <c r="B182" s="2218"/>
      <c r="C182" s="110">
        <v>2018</v>
      </c>
      <c r="D182" s="37"/>
      <c r="E182" s="38"/>
      <c r="F182" s="38"/>
      <c r="G182" s="284">
        <f t="shared" si="19"/>
        <v>0</v>
      </c>
      <c r="H182" s="411"/>
      <c r="I182" s="112"/>
      <c r="J182" s="38"/>
      <c r="K182" s="38"/>
      <c r="L182" s="38"/>
      <c r="M182" s="38"/>
      <c r="N182" s="38"/>
      <c r="O182" s="88"/>
    </row>
    <row r="183" spans="1:15">
      <c r="A183" s="1891"/>
      <c r="B183" s="2218"/>
      <c r="C183" s="110">
        <v>2019</v>
      </c>
      <c r="D183" s="37"/>
      <c r="E183" s="38"/>
      <c r="F183" s="38"/>
      <c r="G183" s="284">
        <f t="shared" si="19"/>
        <v>0</v>
      </c>
      <c r="H183" s="411"/>
      <c r="I183" s="112"/>
      <c r="J183" s="38"/>
      <c r="K183" s="38"/>
      <c r="L183" s="38"/>
      <c r="M183" s="38"/>
      <c r="N183" s="38"/>
      <c r="O183" s="88"/>
    </row>
    <row r="184" spans="1:15">
      <c r="A184" s="1891"/>
      <c r="B184" s="2218"/>
      <c r="C184" s="110">
        <v>2020</v>
      </c>
      <c r="D184" s="37"/>
      <c r="E184" s="38"/>
      <c r="F184" s="38"/>
      <c r="G184" s="284">
        <f t="shared" si="19"/>
        <v>0</v>
      </c>
      <c r="H184" s="411"/>
      <c r="I184" s="112"/>
      <c r="J184" s="38"/>
      <c r="K184" s="38"/>
      <c r="L184" s="38"/>
      <c r="M184" s="38"/>
      <c r="N184" s="38"/>
      <c r="O184" s="88"/>
    </row>
    <row r="185" spans="1:15" ht="45" customHeight="1" thickBot="1">
      <c r="A185" s="1893"/>
      <c r="B185" s="2219"/>
      <c r="C185" s="113" t="s">
        <v>13</v>
      </c>
      <c r="D185" s="139">
        <f>SUM(D178:D184)</f>
        <v>24</v>
      </c>
      <c r="E185" s="116">
        <f>SUM(E178:E184)</f>
        <v>0</v>
      </c>
      <c r="F185" s="116">
        <f>SUM(F178:F184)</f>
        <v>1</v>
      </c>
      <c r="G185" s="220">
        <f t="shared" ref="G185:O185" si="20">SUM(G178:G184)</f>
        <v>25</v>
      </c>
      <c r="H185" s="285">
        <f t="shared" si="20"/>
        <v>25</v>
      </c>
      <c r="I185" s="115">
        <f t="shared" si="20"/>
        <v>25</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380" t="s">
        <v>182</v>
      </c>
      <c r="C187" s="1865" t="s">
        <v>9</v>
      </c>
      <c r="D187" s="1867" t="s">
        <v>138</v>
      </c>
      <c r="E187" s="2381"/>
      <c r="F187" s="2381"/>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872" t="s">
        <v>443</v>
      </c>
      <c r="B189" s="1977"/>
      <c r="C189" s="290">
        <v>2014</v>
      </c>
      <c r="D189" s="133"/>
      <c r="E189" s="109"/>
      <c r="F189" s="109"/>
      <c r="G189" s="291">
        <f>SUM(D189:F189)</f>
        <v>0</v>
      </c>
      <c r="H189" s="108"/>
      <c r="I189" s="109"/>
      <c r="J189" s="109"/>
      <c r="K189" s="109"/>
      <c r="L189" s="134"/>
    </row>
    <row r="190" spans="1:15">
      <c r="A190" s="1978"/>
      <c r="B190" s="1855"/>
      <c r="C190" s="73">
        <v>2015</v>
      </c>
      <c r="D190" s="37"/>
      <c r="E190" s="38"/>
      <c r="F190" s="38"/>
      <c r="G190" s="291">
        <f t="shared" ref="G190:G195" si="21">SUM(D190:F190)</f>
        <v>0</v>
      </c>
      <c r="H190" s="112"/>
      <c r="I190" s="38"/>
      <c r="J190" s="38"/>
      <c r="K190" s="38"/>
      <c r="L190" s="88"/>
    </row>
    <row r="191" spans="1:15">
      <c r="A191" s="1978"/>
      <c r="B191" s="1855"/>
      <c r="C191" s="73">
        <v>2016</v>
      </c>
      <c r="D191" s="37">
        <v>481</v>
      </c>
      <c r="E191" s="38"/>
      <c r="F191" s="38">
        <v>4</v>
      </c>
      <c r="G191" s="291">
        <f t="shared" si="21"/>
        <v>485</v>
      </c>
      <c r="H191" s="112"/>
      <c r="I191" s="38"/>
      <c r="J191" s="38">
        <v>4</v>
      </c>
      <c r="K191" s="38">
        <v>481</v>
      </c>
      <c r="L191" s="88"/>
    </row>
    <row r="192" spans="1:15">
      <c r="A192" s="1978"/>
      <c r="B192" s="1855"/>
      <c r="C192" s="73">
        <v>2017</v>
      </c>
      <c r="D192" s="37">
        <v>182</v>
      </c>
      <c r="E192" s="38"/>
      <c r="F192" s="38"/>
      <c r="G192" s="291">
        <f t="shared" si="21"/>
        <v>182</v>
      </c>
      <c r="H192" s="112"/>
      <c r="I192" s="38"/>
      <c r="J192" s="38">
        <v>5</v>
      </c>
      <c r="K192" s="38">
        <v>177</v>
      </c>
      <c r="L192" s="88"/>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663</v>
      </c>
      <c r="E196" s="116">
        <v>0</v>
      </c>
      <c r="F196" s="116">
        <v>4</v>
      </c>
      <c r="G196" s="292">
        <f t="shared" si="22"/>
        <v>667</v>
      </c>
      <c r="H196" s="115">
        <f t="shared" si="22"/>
        <v>0</v>
      </c>
      <c r="I196" s="116">
        <f t="shared" si="22"/>
        <v>0</v>
      </c>
      <c r="J196" s="116">
        <f t="shared" si="22"/>
        <v>9</v>
      </c>
      <c r="K196" s="116">
        <f t="shared" si="22"/>
        <v>658</v>
      </c>
      <c r="L196" s="117">
        <f t="shared" si="22"/>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417" t="s">
        <v>182</v>
      </c>
      <c r="C201" s="298" t="s">
        <v>9</v>
      </c>
      <c r="D201" s="299" t="s">
        <v>151</v>
      </c>
      <c r="E201" s="300" t="s">
        <v>152</v>
      </c>
      <c r="F201" s="300" t="s">
        <v>153</v>
      </c>
      <c r="G201" s="298" t="s">
        <v>154</v>
      </c>
      <c r="H201" s="1575"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576" t="s">
        <v>161</v>
      </c>
      <c r="B212" s="322" t="s">
        <v>162</v>
      </c>
      <c r="C212" s="323">
        <v>2014</v>
      </c>
      <c r="D212" s="324">
        <v>2015</v>
      </c>
      <c r="E212" s="324">
        <v>2016</v>
      </c>
      <c r="F212" s="324">
        <v>2017</v>
      </c>
      <c r="G212" s="324">
        <v>2018</v>
      </c>
      <c r="H212" s="324">
        <v>2019</v>
      </c>
      <c r="I212" s="325">
        <v>2020</v>
      </c>
    </row>
    <row r="213" spans="1:12">
      <c r="A213" t="s">
        <v>163</v>
      </c>
      <c r="B213" s="1986" t="s">
        <v>444</v>
      </c>
      <c r="C213" s="72"/>
      <c r="D213" s="135">
        <v>49246.74</v>
      </c>
      <c r="E213" s="439">
        <v>218233.32</v>
      </c>
      <c r="F213" s="135">
        <v>121378.25</v>
      </c>
      <c r="G213" s="135"/>
      <c r="H213" s="135"/>
      <c r="I213" s="326"/>
    </row>
    <row r="214" spans="1:12">
      <c r="A214" t="s">
        <v>164</v>
      </c>
      <c r="B214" s="1984"/>
      <c r="C214" s="72"/>
      <c r="D214" s="135">
        <v>36924.910000000003</v>
      </c>
      <c r="E214" s="439">
        <v>218233.32</v>
      </c>
      <c r="F214" s="135">
        <v>121378.25</v>
      </c>
      <c r="G214" s="135"/>
      <c r="H214" s="135"/>
      <c r="I214" s="326"/>
    </row>
    <row r="215" spans="1:12">
      <c r="A215" t="s">
        <v>165</v>
      </c>
      <c r="B215" s="1984"/>
      <c r="C215" s="72"/>
      <c r="D215" s="135">
        <v>0</v>
      </c>
      <c r="E215" s="439">
        <v>0</v>
      </c>
      <c r="F215" s="135">
        <v>0</v>
      </c>
      <c r="G215" s="135"/>
      <c r="H215" s="135"/>
      <c r="I215" s="326"/>
    </row>
    <row r="216" spans="1:12">
      <c r="A216" t="s">
        <v>166</v>
      </c>
      <c r="B216" s="1984"/>
      <c r="C216" s="72"/>
      <c r="D216" s="135">
        <v>12321.83</v>
      </c>
      <c r="E216" s="439">
        <v>0</v>
      </c>
      <c r="F216" s="135">
        <v>0</v>
      </c>
      <c r="G216" s="135"/>
      <c r="H216" s="135"/>
      <c r="I216" s="326"/>
    </row>
    <row r="217" spans="1:12">
      <c r="A217" t="s">
        <v>167</v>
      </c>
      <c r="B217" s="1984"/>
      <c r="C217" s="72"/>
      <c r="D217" s="135">
        <v>0</v>
      </c>
      <c r="E217" s="439">
        <v>0</v>
      </c>
      <c r="F217" s="135">
        <v>0</v>
      </c>
      <c r="G217" s="135"/>
      <c r="H217" s="135"/>
      <c r="I217" s="326"/>
    </row>
    <row r="218" spans="1:12" ht="30">
      <c r="A218" s="56" t="s">
        <v>168</v>
      </c>
      <c r="B218" s="1984"/>
      <c r="C218" s="72"/>
      <c r="D218" s="135">
        <v>57153.440000000002</v>
      </c>
      <c r="E218" s="439">
        <v>148128.01999999999</v>
      </c>
      <c r="F218" s="135">
        <v>98784.88</v>
      </c>
      <c r="G218" s="135"/>
      <c r="H218" s="135"/>
      <c r="I218" s="326"/>
    </row>
    <row r="219" spans="1:12" ht="50.25" customHeight="1" thickBot="1">
      <c r="A219" s="1532"/>
      <c r="B219" s="1985"/>
      <c r="C219" s="42" t="s">
        <v>13</v>
      </c>
      <c r="D219" s="333">
        <v>106400.18</v>
      </c>
      <c r="E219" s="421">
        <v>366361.34</v>
      </c>
      <c r="F219" s="333">
        <v>220163.13</v>
      </c>
      <c r="G219" s="333">
        <f t="shared" ref="G219:I219" si="24">SUM(G214:G218)</f>
        <v>0</v>
      </c>
      <c r="H219" s="333">
        <f t="shared" si="24"/>
        <v>0</v>
      </c>
      <c r="I219" s="333">
        <f t="shared" si="24"/>
        <v>0</v>
      </c>
    </row>
    <row r="220" spans="1:12">
      <c r="E220" s="514" t="s">
        <v>445</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C10"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446</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586"/>
      <c r="B15" s="1587"/>
      <c r="C15" s="10"/>
      <c r="D15" s="1953" t="s">
        <v>5</v>
      </c>
      <c r="E15" s="2422"/>
      <c r="F15" s="2422"/>
      <c r="G15" s="242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v>
      </c>
      <c r="E18" s="38"/>
      <c r="F18" s="38"/>
      <c r="G18" s="32">
        <f>SUM(D18:F18)</f>
        <v>1</v>
      </c>
      <c r="H18" s="39">
        <v>1</v>
      </c>
      <c r="I18" s="38"/>
      <c r="J18" s="38"/>
      <c r="K18" s="38"/>
      <c r="L18" s="38"/>
      <c r="M18" s="38"/>
      <c r="N18" s="38"/>
      <c r="O18" s="40"/>
      <c r="P18" s="35"/>
      <c r="Q18" s="35"/>
      <c r="R18" s="35"/>
      <c r="S18" s="35"/>
      <c r="T18" s="35"/>
      <c r="U18" s="35"/>
      <c r="V18" s="35"/>
      <c r="W18" s="35"/>
      <c r="X18" s="35"/>
      <c r="Y18" s="35"/>
    </row>
    <row r="19" spans="1:25">
      <c r="A19" s="1854"/>
      <c r="B19" s="1855"/>
      <c r="C19" s="36">
        <v>2016</v>
      </c>
      <c r="D19" s="37">
        <v>25</v>
      </c>
      <c r="E19" s="38"/>
      <c r="F19" s="38"/>
      <c r="G19" s="32">
        <f t="shared" si="0"/>
        <v>25</v>
      </c>
      <c r="H19" s="39">
        <v>25</v>
      </c>
      <c r="I19" s="38"/>
      <c r="J19" s="38"/>
      <c r="K19" s="38"/>
      <c r="L19" s="38"/>
      <c r="M19" s="38"/>
      <c r="N19" s="38"/>
      <c r="O19" s="40"/>
      <c r="P19" s="35"/>
      <c r="Q19" s="35"/>
      <c r="R19" s="35"/>
      <c r="S19" s="35"/>
      <c r="T19" s="35"/>
      <c r="U19" s="35"/>
      <c r="V19" s="35"/>
      <c r="W19" s="35"/>
      <c r="X19" s="35"/>
      <c r="Y19" s="35"/>
    </row>
    <row r="20" spans="1:25">
      <c r="A20" s="1854"/>
      <c r="B20" s="1855"/>
      <c r="C20" s="36">
        <v>2017</v>
      </c>
      <c r="D20" s="37">
        <v>5</v>
      </c>
      <c r="E20" s="38"/>
      <c r="F20" s="38"/>
      <c r="G20" s="32">
        <f t="shared" si="0"/>
        <v>5</v>
      </c>
      <c r="H20" s="39">
        <v>5</v>
      </c>
      <c r="I20" s="38"/>
      <c r="J20" s="38"/>
      <c r="K20" s="38"/>
      <c r="L20" s="38"/>
      <c r="M20" s="38"/>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31</v>
      </c>
      <c r="E24" s="44">
        <f>SUM(E17:E23)</f>
        <v>0</v>
      </c>
      <c r="F24" s="44">
        <f>SUM(F17:F23)</f>
        <v>0</v>
      </c>
      <c r="G24" s="45">
        <f>SUM(D24:F24)</f>
        <v>31</v>
      </c>
      <c r="H24" s="46">
        <f>SUM(H17:H23)</f>
        <v>31</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586"/>
      <c r="B26" s="1587"/>
      <c r="C26" s="50"/>
      <c r="D26" s="1959" t="s">
        <v>5</v>
      </c>
      <c r="E26" s="2424"/>
      <c r="F26" s="2424"/>
      <c r="G26" s="2425"/>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100</v>
      </c>
      <c r="E29" s="38"/>
      <c r="F29" s="38"/>
      <c r="G29" s="58">
        <f t="shared" ref="G29:G35" si="2">SUM(D29:F29)</f>
        <v>100</v>
      </c>
      <c r="H29" s="35"/>
      <c r="I29" s="35"/>
      <c r="J29" s="35"/>
      <c r="K29" s="35"/>
      <c r="L29" s="35"/>
      <c r="M29" s="35"/>
      <c r="N29" s="35"/>
      <c r="O29" s="35"/>
      <c r="P29" s="35"/>
      <c r="Q29" s="7"/>
    </row>
    <row r="30" spans="1:25">
      <c r="A30" s="1854"/>
      <c r="B30" s="1855"/>
      <c r="C30" s="59">
        <v>2016</v>
      </c>
      <c r="D30" s="39">
        <v>900</v>
      </c>
      <c r="E30" s="38"/>
      <c r="F30" s="38"/>
      <c r="G30" s="58">
        <f t="shared" si="2"/>
        <v>900</v>
      </c>
      <c r="H30" s="35"/>
      <c r="I30" s="35"/>
      <c r="J30" s="35"/>
      <c r="K30" s="35"/>
      <c r="L30" s="35"/>
      <c r="M30" s="35"/>
      <c r="N30" s="35"/>
      <c r="O30" s="35"/>
      <c r="P30" s="35"/>
      <c r="Q30" s="7"/>
    </row>
    <row r="31" spans="1:25">
      <c r="A31" s="1854"/>
      <c r="B31" s="1855"/>
      <c r="C31" s="59">
        <v>2017</v>
      </c>
      <c r="D31" s="39">
        <v>290</v>
      </c>
      <c r="E31" s="38"/>
      <c r="F31" s="38"/>
      <c r="G31" s="58">
        <f t="shared" si="2"/>
        <v>290</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1290</v>
      </c>
      <c r="E35" s="44">
        <f>SUM(E28:E34)</f>
        <v>0</v>
      </c>
      <c r="F35" s="44">
        <f>SUM(F28:F34)</f>
        <v>0</v>
      </c>
      <c r="G35" s="48">
        <f t="shared" si="2"/>
        <v>1290</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544" t="s">
        <v>26</v>
      </c>
      <c r="B39" s="1545" t="s">
        <v>171</v>
      </c>
      <c r="C39" s="68" t="s">
        <v>9</v>
      </c>
      <c r="D39" s="69" t="s">
        <v>28</v>
      </c>
      <c r="E39" s="70" t="s">
        <v>29</v>
      </c>
      <c r="F39" s="71"/>
      <c r="G39" s="28"/>
      <c r="H39" s="28"/>
    </row>
    <row r="40" spans="1:17">
      <c r="A40" s="1874" t="s">
        <v>447</v>
      </c>
      <c r="B40" s="1855"/>
      <c r="C40" s="72">
        <v>2014</v>
      </c>
      <c r="D40" s="30"/>
      <c r="E40" s="29"/>
      <c r="F40" s="7"/>
      <c r="G40" s="35"/>
      <c r="H40" s="35"/>
    </row>
    <row r="41" spans="1:17">
      <c r="A41" s="1854"/>
      <c r="B41" s="1855"/>
      <c r="C41" s="73">
        <v>2015</v>
      </c>
      <c r="D41" s="37">
        <v>676</v>
      </c>
      <c r="E41" s="36"/>
      <c r="F41" s="7"/>
      <c r="G41" s="35"/>
      <c r="H41" s="35"/>
    </row>
    <row r="42" spans="1:17">
      <c r="A42" s="1854"/>
      <c r="B42" s="1855"/>
      <c r="C42" s="73">
        <v>2016</v>
      </c>
      <c r="D42" s="37">
        <v>2320</v>
      </c>
      <c r="E42" s="36"/>
      <c r="F42" s="7"/>
      <c r="G42" s="35"/>
      <c r="H42" s="35"/>
    </row>
    <row r="43" spans="1:17">
      <c r="A43" s="1854"/>
      <c r="B43" s="1855"/>
      <c r="C43" s="73">
        <v>2017</v>
      </c>
      <c r="D43" s="37">
        <v>2456</v>
      </c>
      <c r="E43" s="36"/>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5452</v>
      </c>
      <c r="E47" s="455">
        <f>SUM(E40:E46)</f>
        <v>0</v>
      </c>
      <c r="F47" s="78"/>
      <c r="G47" s="35"/>
      <c r="H47" s="35"/>
    </row>
    <row r="48" spans="1:17" s="35" customFormat="1" ht="15.75" thickBot="1">
      <c r="A48" s="1595"/>
      <c r="B48" s="80"/>
      <c r="C48" s="81"/>
    </row>
    <row r="49" spans="1:15" ht="83.25" customHeight="1">
      <c r="A49" s="82" t="s">
        <v>32</v>
      </c>
      <c r="B49" s="1545"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427" t="s">
        <v>44</v>
      </c>
      <c r="B60" s="1616"/>
      <c r="C60" s="2429" t="s">
        <v>9</v>
      </c>
      <c r="D60" s="2417" t="s">
        <v>45</v>
      </c>
      <c r="E60" s="96" t="s">
        <v>6</v>
      </c>
      <c r="F60" s="1542"/>
      <c r="G60" s="1542"/>
      <c r="H60" s="1542"/>
      <c r="I60" s="1542"/>
      <c r="J60" s="1542"/>
      <c r="K60" s="1542"/>
      <c r="L60" s="1543"/>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448</v>
      </c>
      <c r="B62" s="1899"/>
      <c r="C62" s="106">
        <v>2014</v>
      </c>
      <c r="D62" s="107"/>
      <c r="E62" s="108"/>
      <c r="F62" s="109"/>
      <c r="G62" s="109"/>
      <c r="H62" s="109"/>
      <c r="I62" s="109"/>
      <c r="J62" s="109"/>
      <c r="K62" s="109"/>
      <c r="L62" s="34"/>
      <c r="M62" s="7"/>
      <c r="N62" s="7"/>
      <c r="O62" s="7"/>
    </row>
    <row r="63" spans="1:15">
      <c r="A63" s="1891"/>
      <c r="B63" s="1899"/>
      <c r="C63" s="110">
        <v>2015</v>
      </c>
      <c r="D63" s="111">
        <v>1</v>
      </c>
      <c r="E63" s="112">
        <v>1</v>
      </c>
      <c r="F63" s="38"/>
      <c r="G63" s="38"/>
      <c r="H63" s="38"/>
      <c r="I63" s="38"/>
      <c r="J63" s="38"/>
      <c r="K63" s="38"/>
      <c r="L63" s="88"/>
      <c r="M63" s="7"/>
      <c r="N63" s="7"/>
      <c r="O63" s="7"/>
    </row>
    <row r="64" spans="1:15">
      <c r="A64" s="1891"/>
      <c r="B64" s="1899"/>
      <c r="C64" s="110">
        <v>2016</v>
      </c>
      <c r="D64" s="111"/>
      <c r="E64" s="112"/>
      <c r="F64" s="38"/>
      <c r="G64" s="38"/>
      <c r="H64" s="38"/>
      <c r="I64" s="38"/>
      <c r="J64" s="38"/>
      <c r="K64" s="38"/>
      <c r="L64" s="88"/>
      <c r="M64" s="7"/>
      <c r="N64" s="7"/>
      <c r="O64" s="7"/>
    </row>
    <row r="65" spans="1:20">
      <c r="A65" s="1891"/>
      <c r="B65" s="1899"/>
      <c r="C65" s="110">
        <v>2017</v>
      </c>
      <c r="D65" s="111"/>
      <c r="E65" s="112"/>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v>
      </c>
      <c r="E69" s="115">
        <f>SUM(E62:E68)</f>
        <v>1</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545"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546" t="s">
        <v>56</v>
      </c>
      <c r="B84" s="1547"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1916" t="s">
        <v>70</v>
      </c>
      <c r="E96" s="1917"/>
      <c r="F96" s="162" t="s">
        <v>71</v>
      </c>
      <c r="G96" s="1548"/>
      <c r="H96" s="1548"/>
      <c r="I96" s="1548"/>
      <c r="J96" s="1548"/>
      <c r="K96" s="1548"/>
      <c r="L96" s="1548"/>
      <c r="M96" s="1549"/>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78</v>
      </c>
      <c r="E107" s="162" t="s">
        <v>79</v>
      </c>
      <c r="F107" s="1548"/>
      <c r="G107" s="1548"/>
      <c r="H107" s="1548"/>
      <c r="I107" s="1548"/>
      <c r="J107" s="1548"/>
      <c r="K107" s="1548"/>
      <c r="L107" s="1549"/>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62" t="s">
        <v>79</v>
      </c>
      <c r="F118" s="1548"/>
      <c r="G118" s="1548"/>
      <c r="H118" s="1548"/>
      <c r="I118" s="1548"/>
      <c r="J118" s="1548"/>
      <c r="K118" s="1548"/>
      <c r="L118" s="1549"/>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550" t="s">
        <v>9</v>
      </c>
      <c r="D129" s="189" t="s">
        <v>85</v>
      </c>
      <c r="E129" s="1551"/>
      <c r="F129" s="1551"/>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566"/>
      <c r="F163" s="165"/>
      <c r="G163" s="165"/>
      <c r="H163" s="165"/>
      <c r="I163" s="165"/>
      <c r="J163" s="241"/>
      <c r="K163" s="242"/>
    </row>
    <row r="164" spans="1:18" ht="95.25" customHeight="1">
      <c r="A164" s="243" t="s">
        <v>115</v>
      </c>
      <c r="B164" s="405" t="s">
        <v>181</v>
      </c>
      <c r="C164" s="1567" t="s">
        <v>9</v>
      </c>
      <c r="D164" s="246" t="s">
        <v>117</v>
      </c>
      <c r="E164" s="246" t="s">
        <v>118</v>
      </c>
      <c r="F164" s="1568"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273" t="s">
        <v>128</v>
      </c>
      <c r="E176" s="1572"/>
      <c r="F176" s="1572"/>
      <c r="G176" s="1573"/>
      <c r="H176" s="276"/>
      <c r="I176" s="1888" t="s">
        <v>129</v>
      </c>
      <c r="J176" s="2393"/>
      <c r="K176" s="2393"/>
      <c r="L176" s="2393"/>
      <c r="M176" s="2393"/>
      <c r="N176" s="2393"/>
      <c r="O176" s="2394"/>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449</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c r="E179" s="38"/>
      <c r="F179" s="38"/>
      <c r="G179" s="284">
        <f t="shared" ref="G179:G184" si="19">SUM(D179:F179)</f>
        <v>0</v>
      </c>
      <c r="H179" s="411"/>
      <c r="I179" s="112"/>
      <c r="J179" s="38"/>
      <c r="K179" s="38"/>
      <c r="L179" s="38"/>
      <c r="M179" s="38"/>
      <c r="N179" s="38"/>
      <c r="O179" s="88"/>
    </row>
    <row r="180" spans="1:15">
      <c r="A180" s="1891"/>
      <c r="B180" s="1899"/>
      <c r="C180" s="110">
        <v>2016</v>
      </c>
      <c r="D180" s="37"/>
      <c r="E180" s="38"/>
      <c r="F180" s="38">
        <v>1</v>
      </c>
      <c r="G180" s="284">
        <f t="shared" si="19"/>
        <v>1</v>
      </c>
      <c r="H180" s="411">
        <v>3</v>
      </c>
      <c r="I180" s="112">
        <v>1</v>
      </c>
      <c r="J180" s="38"/>
      <c r="K180" s="38"/>
      <c r="L180" s="38"/>
      <c r="M180" s="38"/>
      <c r="N180" s="38"/>
      <c r="O180" s="88"/>
    </row>
    <row r="181" spans="1:15">
      <c r="A181" s="1891"/>
      <c r="B181" s="1899"/>
      <c r="C181" s="110">
        <v>2017</v>
      </c>
      <c r="D181" s="37">
        <v>35</v>
      </c>
      <c r="E181" s="38"/>
      <c r="F181" s="38">
        <v>2</v>
      </c>
      <c r="G181" s="284">
        <f t="shared" si="19"/>
        <v>37</v>
      </c>
      <c r="H181" s="411">
        <v>39</v>
      </c>
      <c r="I181" s="112">
        <v>37</v>
      </c>
      <c r="J181" s="38"/>
      <c r="K181" s="38"/>
      <c r="L181" s="38"/>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35</v>
      </c>
      <c r="E185" s="116">
        <f>SUM(E178:E184)</f>
        <v>0</v>
      </c>
      <c r="F185" s="116">
        <f>SUM(F178:F184)</f>
        <v>3</v>
      </c>
      <c r="G185" s="220">
        <f t="shared" ref="G185:O185" si="20">SUM(G178:G184)</f>
        <v>38</v>
      </c>
      <c r="H185" s="285">
        <f t="shared" si="20"/>
        <v>42</v>
      </c>
      <c r="I185" s="115">
        <f t="shared" si="20"/>
        <v>38</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380" t="s">
        <v>182</v>
      </c>
      <c r="C187" s="1865" t="s">
        <v>9</v>
      </c>
      <c r="D187" s="1867" t="s">
        <v>138</v>
      </c>
      <c r="E187" s="2381"/>
      <c r="F187" s="2381"/>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450</v>
      </c>
      <c r="B189" s="1977"/>
      <c r="C189" s="290">
        <v>2014</v>
      </c>
      <c r="D189" s="133"/>
      <c r="E189" s="109"/>
      <c r="F189" s="109"/>
      <c r="G189" s="291">
        <f>SUM(D189:F189)</f>
        <v>0</v>
      </c>
      <c r="H189" s="108"/>
      <c r="I189" s="109"/>
      <c r="J189" s="109"/>
      <c r="K189" s="109"/>
      <c r="L189" s="134"/>
    </row>
    <row r="190" spans="1:15">
      <c r="A190" s="1978"/>
      <c r="B190" s="1855"/>
      <c r="C190" s="73">
        <v>2015</v>
      </c>
      <c r="D190" s="37"/>
      <c r="E190" s="38"/>
      <c r="F190" s="38"/>
      <c r="G190" s="291">
        <f t="shared" ref="G190:G195" si="21">SUM(D190:F190)</f>
        <v>0</v>
      </c>
      <c r="H190" s="112"/>
      <c r="I190" s="38"/>
      <c r="J190" s="38"/>
      <c r="K190" s="38"/>
      <c r="L190" s="88"/>
    </row>
    <row r="191" spans="1:15">
      <c r="A191" s="1978"/>
      <c r="B191" s="1855"/>
      <c r="C191" s="73">
        <v>2016</v>
      </c>
      <c r="D191" s="37"/>
      <c r="E191" s="38"/>
      <c r="F191" s="38">
        <v>50</v>
      </c>
      <c r="G191" s="291">
        <f t="shared" si="21"/>
        <v>50</v>
      </c>
      <c r="H191" s="112"/>
      <c r="I191" s="38"/>
      <c r="J191" s="38">
        <v>25</v>
      </c>
      <c r="K191" s="38"/>
      <c r="L191" s="88">
        <v>25</v>
      </c>
    </row>
    <row r="192" spans="1:15">
      <c r="A192" s="1978"/>
      <c r="B192" s="1855"/>
      <c r="C192" s="73">
        <v>2017</v>
      </c>
      <c r="D192" s="37">
        <v>525</v>
      </c>
      <c r="E192" s="38"/>
      <c r="F192" s="38">
        <v>60</v>
      </c>
      <c r="G192" s="291">
        <f t="shared" si="21"/>
        <v>585</v>
      </c>
      <c r="H192" s="112"/>
      <c r="I192" s="38"/>
      <c r="J192" s="38">
        <v>30</v>
      </c>
      <c r="K192" s="38"/>
      <c r="L192" s="88">
        <v>555</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525</v>
      </c>
      <c r="E196" s="116">
        <f t="shared" si="22"/>
        <v>0</v>
      </c>
      <c r="F196" s="116">
        <f t="shared" si="22"/>
        <v>110</v>
      </c>
      <c r="G196" s="292">
        <f t="shared" si="22"/>
        <v>635</v>
      </c>
      <c r="H196" s="115">
        <f t="shared" si="22"/>
        <v>0</v>
      </c>
      <c r="I196" s="116">
        <f t="shared" si="22"/>
        <v>0</v>
      </c>
      <c r="J196" s="116">
        <f t="shared" si="22"/>
        <v>55</v>
      </c>
      <c r="K196" s="116">
        <f t="shared" si="22"/>
        <v>0</v>
      </c>
      <c r="L196" s="117">
        <f t="shared" si="22"/>
        <v>580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417" t="s">
        <v>182</v>
      </c>
      <c r="C201" s="298" t="s">
        <v>9</v>
      </c>
      <c r="D201" s="299" t="s">
        <v>151</v>
      </c>
      <c r="E201" s="300" t="s">
        <v>152</v>
      </c>
      <c r="F201" s="300" t="s">
        <v>153</v>
      </c>
      <c r="G201" s="298" t="s">
        <v>154</v>
      </c>
      <c r="H201" s="1575"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576" t="s">
        <v>161</v>
      </c>
      <c r="B212" s="322" t="s">
        <v>162</v>
      </c>
      <c r="C212" s="323">
        <v>2014</v>
      </c>
      <c r="D212" s="324">
        <v>2015</v>
      </c>
      <c r="E212" s="324">
        <v>2016</v>
      </c>
      <c r="F212" s="324">
        <v>2017</v>
      </c>
      <c r="G212" s="324">
        <v>2018</v>
      </c>
      <c r="H212" s="324">
        <v>2019</v>
      </c>
      <c r="I212" s="325">
        <v>2020</v>
      </c>
    </row>
    <row r="213" spans="1:12" ht="15" customHeight="1">
      <c r="A213" t="s">
        <v>163</v>
      </c>
      <c r="B213" s="1973" t="s">
        <v>451</v>
      </c>
      <c r="C213" s="72"/>
      <c r="D213" s="135">
        <f>D214</f>
        <v>7075.32</v>
      </c>
      <c r="E213" s="135">
        <v>135893.16</v>
      </c>
      <c r="F213" s="135">
        <f>F214+F217</f>
        <v>149350.85</v>
      </c>
      <c r="G213" s="135"/>
      <c r="H213" s="135"/>
      <c r="I213" s="326"/>
    </row>
    <row r="214" spans="1:12">
      <c r="A214" t="s">
        <v>164</v>
      </c>
      <c r="B214" s="1974"/>
      <c r="C214" s="72"/>
      <c r="D214" s="135">
        <v>7075.32</v>
      </c>
      <c r="E214" s="135">
        <v>106260.32</v>
      </c>
      <c r="F214" s="135">
        <v>36170.519999999997</v>
      </c>
      <c r="G214" s="135"/>
      <c r="H214" s="135"/>
      <c r="I214" s="326"/>
    </row>
    <row r="215" spans="1:12">
      <c r="A215" t="s">
        <v>165</v>
      </c>
      <c r="B215" s="1974"/>
      <c r="C215" s="72"/>
      <c r="D215" s="135"/>
      <c r="E215" s="135"/>
      <c r="F215" s="135"/>
      <c r="G215" s="135"/>
      <c r="H215" s="135"/>
      <c r="I215" s="326"/>
    </row>
    <row r="216" spans="1:12">
      <c r="A216" t="s">
        <v>166</v>
      </c>
      <c r="B216" s="1974"/>
      <c r="C216" s="72"/>
      <c r="D216" s="135"/>
      <c r="E216" s="135"/>
      <c r="F216" s="135"/>
      <c r="G216" s="135"/>
      <c r="H216" s="135"/>
      <c r="I216" s="326"/>
    </row>
    <row r="217" spans="1:12">
      <c r="A217" t="s">
        <v>167</v>
      </c>
      <c r="B217" s="1974"/>
      <c r="C217" s="72"/>
      <c r="D217" s="135"/>
      <c r="E217" s="135">
        <v>29632.84</v>
      </c>
      <c r="F217" s="135">
        <v>113180.33</v>
      </c>
      <c r="G217" s="135"/>
      <c r="H217" s="135"/>
      <c r="I217" s="326"/>
    </row>
    <row r="218" spans="1:12" ht="30">
      <c r="A218" s="56" t="s">
        <v>168</v>
      </c>
      <c r="B218" s="1974"/>
      <c r="C218" s="72"/>
      <c r="D218" s="135">
        <v>68861.63</v>
      </c>
      <c r="E218" s="135">
        <v>76426.36</v>
      </c>
      <c r="F218" s="135">
        <v>71606.429999999993</v>
      </c>
      <c r="G218" s="135"/>
      <c r="H218" s="135"/>
      <c r="I218" s="326"/>
    </row>
    <row r="219" spans="1:12" ht="31.5" customHeight="1" thickBot="1">
      <c r="A219" s="1532"/>
      <c r="B219" s="1975"/>
      <c r="C219" s="42" t="s">
        <v>13</v>
      </c>
      <c r="D219" s="333">
        <f>SUM(D214:D218)</f>
        <v>75936.950000000012</v>
      </c>
      <c r="E219" s="1617">
        <f>SUM(E214:E218)</f>
        <v>212319.52000000002</v>
      </c>
      <c r="F219" s="333">
        <f>SUM(F214:F218)</f>
        <v>220957.28</v>
      </c>
      <c r="G219" s="333">
        <f t="shared" ref="G219:I219" si="24">SUM(G214:G218)</f>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1"/>
  <sheetViews>
    <sheetView topLeftCell="A10" workbookViewId="0">
      <selection activeCell="F219" sqref="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452</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586"/>
      <c r="B15" s="1587"/>
      <c r="C15" s="10"/>
      <c r="D15" s="1953" t="s">
        <v>5</v>
      </c>
      <c r="E15" s="2422"/>
      <c r="F15" s="2422"/>
      <c r="G15" s="242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582" t="s">
        <v>453</v>
      </c>
      <c r="B17" s="2571"/>
      <c r="C17" s="1618">
        <v>2014</v>
      </c>
      <c r="D17" s="1492"/>
      <c r="E17" s="1493"/>
      <c r="F17" s="1493"/>
      <c r="G17" s="1494">
        <f t="shared" ref="G17:G23" si="0">SUM(D17:F17)</f>
        <v>0</v>
      </c>
      <c r="H17" s="1495"/>
      <c r="I17" s="1493"/>
      <c r="J17" s="1493"/>
      <c r="K17" s="1493"/>
      <c r="L17" s="1493"/>
      <c r="M17" s="1619"/>
      <c r="N17" s="1619"/>
      <c r="O17" s="1620"/>
      <c r="P17" s="35"/>
      <c r="Q17" s="35"/>
      <c r="R17" s="35"/>
      <c r="S17" s="35"/>
      <c r="T17" s="35"/>
      <c r="U17" s="35"/>
      <c r="V17" s="35"/>
      <c r="W17" s="35"/>
      <c r="X17" s="35"/>
      <c r="Y17" s="35"/>
    </row>
    <row r="18" spans="1:25">
      <c r="A18" s="2582"/>
      <c r="B18" s="2571"/>
      <c r="C18" s="585">
        <v>2015</v>
      </c>
      <c r="D18" s="584"/>
      <c r="E18" s="578">
        <v>2</v>
      </c>
      <c r="F18" s="578"/>
      <c r="G18" s="1494">
        <f t="shared" si="0"/>
        <v>2</v>
      </c>
      <c r="H18" s="582">
        <v>2</v>
      </c>
      <c r="I18" s="578"/>
      <c r="J18" s="578"/>
      <c r="K18" s="578"/>
      <c r="L18" s="578"/>
      <c r="M18" s="345"/>
      <c r="N18" s="345"/>
      <c r="O18" s="1621"/>
      <c r="P18" s="35"/>
      <c r="Q18" s="35"/>
      <c r="R18" s="35"/>
      <c r="S18" s="35"/>
      <c r="T18" s="35"/>
      <c r="U18" s="35"/>
      <c r="V18" s="35"/>
      <c r="W18" s="35"/>
      <c r="X18" s="35"/>
      <c r="Y18" s="35"/>
    </row>
    <row r="19" spans="1:25">
      <c r="A19" s="2582"/>
      <c r="B19" s="2571"/>
      <c r="C19" s="585">
        <v>2016</v>
      </c>
      <c r="D19" s="584">
        <v>11</v>
      </c>
      <c r="E19" s="578"/>
      <c r="F19" s="578"/>
      <c r="G19" s="1494">
        <f t="shared" si="0"/>
        <v>11</v>
      </c>
      <c r="H19" s="582">
        <v>11</v>
      </c>
      <c r="I19" s="578"/>
      <c r="J19" s="578"/>
      <c r="K19" s="578"/>
      <c r="L19" s="578"/>
      <c r="M19" s="345"/>
      <c r="N19" s="345"/>
      <c r="O19" s="1621"/>
      <c r="P19" s="35"/>
      <c r="Q19" s="35"/>
      <c r="R19" s="35"/>
      <c r="S19" s="35"/>
      <c r="T19" s="35"/>
      <c r="U19" s="35"/>
      <c r="V19" s="35"/>
      <c r="W19" s="35"/>
      <c r="X19" s="35"/>
      <c r="Y19" s="35"/>
    </row>
    <row r="20" spans="1:25">
      <c r="A20" s="2582"/>
      <c r="B20" s="2571"/>
      <c r="C20" s="585">
        <v>2017</v>
      </c>
      <c r="D20" s="584">
        <v>10</v>
      </c>
      <c r="E20" s="578"/>
      <c r="F20" s="578"/>
      <c r="G20" s="1494">
        <f t="shared" si="0"/>
        <v>10</v>
      </c>
      <c r="H20" s="582">
        <v>10</v>
      </c>
      <c r="I20" s="578"/>
      <c r="J20" s="578"/>
      <c r="K20" s="578"/>
      <c r="L20" s="578"/>
      <c r="M20" s="345"/>
      <c r="N20" s="345"/>
      <c r="O20" s="1621"/>
      <c r="P20" s="35"/>
      <c r="Q20" s="35"/>
      <c r="R20" s="35"/>
      <c r="S20" s="35"/>
      <c r="T20" s="35"/>
      <c r="U20" s="35"/>
      <c r="V20" s="35"/>
      <c r="W20" s="35"/>
      <c r="X20" s="35"/>
      <c r="Y20" s="35"/>
    </row>
    <row r="21" spans="1:25">
      <c r="A21" s="2582"/>
      <c r="B21" s="2571"/>
      <c r="C21" s="585">
        <v>2018</v>
      </c>
      <c r="D21" s="584"/>
      <c r="E21" s="578"/>
      <c r="F21" s="578"/>
      <c r="G21" s="1494">
        <f t="shared" si="0"/>
        <v>0</v>
      </c>
      <c r="H21" s="582"/>
      <c r="I21" s="578"/>
      <c r="J21" s="578"/>
      <c r="K21" s="578"/>
      <c r="L21" s="578"/>
      <c r="M21" s="345"/>
      <c r="N21" s="345"/>
      <c r="O21" s="1621"/>
      <c r="P21" s="35"/>
      <c r="Q21" s="35"/>
      <c r="R21" s="35"/>
      <c r="S21" s="35"/>
      <c r="T21" s="35"/>
      <c r="U21" s="35"/>
      <c r="V21" s="35"/>
      <c r="W21" s="35"/>
      <c r="X21" s="35"/>
      <c r="Y21" s="35"/>
    </row>
    <row r="22" spans="1:25">
      <c r="A22" s="2582"/>
      <c r="B22" s="2571"/>
      <c r="C22" s="1622">
        <v>2019</v>
      </c>
      <c r="D22" s="584"/>
      <c r="E22" s="578"/>
      <c r="F22" s="578"/>
      <c r="G22" s="1494">
        <f>SUM(D22:F22)</f>
        <v>0</v>
      </c>
      <c r="H22" s="582"/>
      <c r="I22" s="578"/>
      <c r="J22" s="578"/>
      <c r="K22" s="578"/>
      <c r="L22" s="578"/>
      <c r="M22" s="345"/>
      <c r="N22" s="345"/>
      <c r="O22" s="1621"/>
      <c r="P22" s="35"/>
      <c r="Q22" s="35"/>
      <c r="R22" s="35"/>
      <c r="S22" s="35"/>
      <c r="T22" s="35"/>
      <c r="U22" s="35"/>
      <c r="V22" s="35"/>
      <c r="W22" s="35"/>
      <c r="X22" s="35"/>
      <c r="Y22" s="35"/>
    </row>
    <row r="23" spans="1:25">
      <c r="A23" s="2582"/>
      <c r="B23" s="2571"/>
      <c r="C23" s="585">
        <v>2020</v>
      </c>
      <c r="D23" s="584"/>
      <c r="E23" s="578"/>
      <c r="F23" s="578"/>
      <c r="G23" s="1494">
        <f t="shared" si="0"/>
        <v>0</v>
      </c>
      <c r="H23" s="582"/>
      <c r="I23" s="578"/>
      <c r="J23" s="578"/>
      <c r="K23" s="578"/>
      <c r="L23" s="578"/>
      <c r="M23" s="345"/>
      <c r="N23" s="345"/>
      <c r="O23" s="1621"/>
      <c r="P23" s="35"/>
      <c r="Q23" s="35"/>
      <c r="R23" s="35"/>
      <c r="S23" s="35"/>
      <c r="T23" s="35"/>
      <c r="U23" s="35"/>
      <c r="V23" s="35"/>
      <c r="W23" s="35"/>
      <c r="X23" s="35"/>
      <c r="Y23" s="35"/>
    </row>
    <row r="24" spans="1:25" ht="15.75" thickBot="1">
      <c r="A24" s="2583"/>
      <c r="B24" s="2584"/>
      <c r="C24" s="1623" t="s">
        <v>13</v>
      </c>
      <c r="D24" s="1624">
        <f>SUM(D17:D23)</f>
        <v>21</v>
      </c>
      <c r="E24" s="1625">
        <f>SUM(E17:E23)</f>
        <v>2</v>
      </c>
      <c r="F24" s="1625">
        <f>SUM(F17:F23)</f>
        <v>0</v>
      </c>
      <c r="G24" s="1626">
        <f>SUM(D24:F24)</f>
        <v>23</v>
      </c>
      <c r="H24" s="1627">
        <f>SUM(H17:H23)</f>
        <v>23</v>
      </c>
      <c r="I24" s="1628">
        <f>SUM(I17:I23)</f>
        <v>0</v>
      </c>
      <c r="J24" s="1628">
        <f t="shared" ref="J24:N24" si="1">SUM(J17:J23)</f>
        <v>0</v>
      </c>
      <c r="K24" s="1628">
        <f t="shared" si="1"/>
        <v>0</v>
      </c>
      <c r="L24" s="1628">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586"/>
      <c r="B26" s="1587"/>
      <c r="C26" s="50"/>
      <c r="D26" s="1959" t="s">
        <v>5</v>
      </c>
      <c r="E26" s="2424"/>
      <c r="F26" s="2424"/>
      <c r="G26" s="2425"/>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582" t="s">
        <v>454</v>
      </c>
      <c r="B28" s="2571"/>
      <c r="C28" s="57">
        <v>2014</v>
      </c>
      <c r="D28" s="1629"/>
      <c r="E28" s="1493"/>
      <c r="F28" s="1493"/>
      <c r="G28" s="1630">
        <f>SUM(D28:F28)</f>
        <v>0</v>
      </c>
      <c r="H28" s="35"/>
      <c r="I28" s="35"/>
      <c r="J28" s="35"/>
      <c r="K28" s="35"/>
      <c r="L28" s="35"/>
      <c r="M28" s="35"/>
      <c r="N28" s="35"/>
      <c r="O28" s="35"/>
      <c r="P28" s="35"/>
      <c r="Q28" s="7"/>
    </row>
    <row r="29" spans="1:25">
      <c r="A29" s="2582"/>
      <c r="B29" s="2571"/>
      <c r="C29" s="59">
        <v>2015</v>
      </c>
      <c r="D29" s="577"/>
      <c r="E29" s="578">
        <v>115</v>
      </c>
      <c r="F29" s="578"/>
      <c r="G29" s="1630">
        <f>SUM(D29:F29)</f>
        <v>115</v>
      </c>
      <c r="H29" s="35"/>
      <c r="I29" s="35"/>
      <c r="J29" s="35"/>
      <c r="K29" s="35"/>
      <c r="L29" s="35"/>
      <c r="M29" s="35"/>
      <c r="N29" s="35"/>
      <c r="O29" s="35"/>
      <c r="P29" s="35"/>
      <c r="Q29" s="7"/>
    </row>
    <row r="30" spans="1:25">
      <c r="A30" s="2582"/>
      <c r="B30" s="2571"/>
      <c r="C30" s="59">
        <v>2016</v>
      </c>
      <c r="D30" s="582"/>
      <c r="E30" s="578">
        <v>546</v>
      </c>
      <c r="F30" s="578"/>
      <c r="G30" s="1630">
        <f t="shared" ref="G30:G35" si="2">SUM(D30:F30)</f>
        <v>546</v>
      </c>
      <c r="H30" s="35"/>
      <c r="I30" s="35"/>
      <c r="J30" s="35"/>
      <c r="K30" s="35"/>
      <c r="L30" s="35"/>
      <c r="M30" s="35"/>
      <c r="N30" s="35"/>
      <c r="O30" s="35"/>
      <c r="P30" s="35"/>
      <c r="Q30" s="7"/>
    </row>
    <row r="31" spans="1:25">
      <c r="A31" s="2582"/>
      <c r="B31" s="2571"/>
      <c r="C31" s="59">
        <v>2017</v>
      </c>
      <c r="D31" s="582"/>
      <c r="E31" s="578">
        <v>458</v>
      </c>
      <c r="F31" s="578"/>
      <c r="G31" s="1630">
        <f t="shared" si="2"/>
        <v>458</v>
      </c>
      <c r="H31" s="35"/>
      <c r="I31" s="35"/>
      <c r="J31" s="35"/>
      <c r="K31" s="35"/>
      <c r="L31" s="35"/>
      <c r="M31" s="35"/>
      <c r="N31" s="35"/>
      <c r="O31" s="35"/>
      <c r="P31" s="35"/>
      <c r="Q31" s="7"/>
    </row>
    <row r="32" spans="1:25">
      <c r="A32" s="2582"/>
      <c r="B32" s="2571"/>
      <c r="C32" s="59">
        <v>2018</v>
      </c>
      <c r="D32" s="577"/>
      <c r="E32" s="578"/>
      <c r="F32" s="578"/>
      <c r="G32" s="1630">
        <f>SUM(D32:F32)</f>
        <v>0</v>
      </c>
      <c r="H32" s="35"/>
      <c r="I32" s="35"/>
      <c r="J32" s="35"/>
      <c r="K32" s="35"/>
      <c r="L32" s="35"/>
      <c r="M32" s="35"/>
      <c r="N32" s="35"/>
      <c r="O32" s="35"/>
      <c r="P32" s="35"/>
      <c r="Q32" s="7"/>
    </row>
    <row r="33" spans="1:17">
      <c r="A33" s="2582"/>
      <c r="B33" s="2571"/>
      <c r="C33" s="60">
        <v>2019</v>
      </c>
      <c r="D33" s="577"/>
      <c r="E33" s="578"/>
      <c r="F33" s="578"/>
      <c r="G33" s="1630">
        <f t="shared" si="2"/>
        <v>0</v>
      </c>
      <c r="H33" s="35"/>
      <c r="I33" s="35"/>
      <c r="J33" s="35"/>
      <c r="K33" s="35"/>
      <c r="L33" s="35"/>
      <c r="M33" s="35"/>
      <c r="N33" s="35"/>
      <c r="O33" s="35"/>
      <c r="P33" s="35"/>
      <c r="Q33" s="7"/>
    </row>
    <row r="34" spans="1:17">
      <c r="A34" s="2582"/>
      <c r="B34" s="2571"/>
      <c r="C34" s="59">
        <v>2020</v>
      </c>
      <c r="D34" s="577"/>
      <c r="E34" s="578"/>
      <c r="F34" s="578"/>
      <c r="G34" s="1630">
        <f t="shared" si="2"/>
        <v>0</v>
      </c>
      <c r="H34" s="35"/>
      <c r="I34" s="35"/>
      <c r="J34" s="35"/>
      <c r="K34" s="35"/>
      <c r="L34" s="35"/>
      <c r="M34" s="35"/>
      <c r="N34" s="35"/>
      <c r="O34" s="35"/>
      <c r="P34" s="35"/>
      <c r="Q34" s="7"/>
    </row>
    <row r="35" spans="1:17" ht="128.25" customHeight="1" thickBot="1">
      <c r="A35" s="2583"/>
      <c r="B35" s="2584"/>
      <c r="C35" s="61" t="s">
        <v>13</v>
      </c>
      <c r="D35" s="46">
        <f>SUM(D28:D34)</f>
        <v>0</v>
      </c>
      <c r="E35" s="44">
        <f>SUM(E28:E34)</f>
        <v>1119</v>
      </c>
      <c r="F35" s="44">
        <f>SUM(F28:F34)</f>
        <v>0</v>
      </c>
      <c r="G35" s="48">
        <f t="shared" si="2"/>
        <v>1119</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544" t="s">
        <v>26</v>
      </c>
      <c r="B39" s="1545">
        <v>0</v>
      </c>
      <c r="C39" s="68" t="s">
        <v>9</v>
      </c>
      <c r="D39" s="69" t="s">
        <v>28</v>
      </c>
      <c r="E39" s="70" t="s">
        <v>29</v>
      </c>
      <c r="F39" s="71"/>
      <c r="G39" s="28"/>
      <c r="H39" s="28"/>
    </row>
    <row r="40" spans="1:17">
      <c r="A40" s="1874"/>
      <c r="B40" s="1855"/>
      <c r="C40" s="72">
        <v>2014</v>
      </c>
      <c r="D40" s="1631"/>
      <c r="E40" s="1632"/>
      <c r="F40" s="7"/>
      <c r="G40" s="35"/>
      <c r="H40" s="35"/>
    </row>
    <row r="41" spans="1:17">
      <c r="A41" s="1854"/>
      <c r="B41" s="1855"/>
      <c r="C41" s="73">
        <v>2015</v>
      </c>
      <c r="D41" s="584">
        <v>102669</v>
      </c>
      <c r="E41" s="1633"/>
      <c r="F41" s="7"/>
      <c r="G41" s="35"/>
      <c r="H41" s="35"/>
    </row>
    <row r="42" spans="1:17">
      <c r="A42" s="1854"/>
      <c r="B42" s="1855"/>
      <c r="C42" s="73">
        <v>2016</v>
      </c>
      <c r="D42" s="584">
        <v>184194</v>
      </c>
      <c r="E42" s="1634">
        <v>36622</v>
      </c>
      <c r="F42" s="7"/>
      <c r="G42" s="35"/>
      <c r="H42" s="35"/>
    </row>
    <row r="43" spans="1:17">
      <c r="A43" s="1854"/>
      <c r="B43" s="1855"/>
      <c r="C43" s="73">
        <v>2017</v>
      </c>
      <c r="D43" s="584">
        <v>204233</v>
      </c>
      <c r="E43" s="585">
        <v>37148</v>
      </c>
      <c r="F43" s="7"/>
      <c r="G43" s="35"/>
      <c r="H43" s="35"/>
    </row>
    <row r="44" spans="1:17">
      <c r="A44" s="1854"/>
      <c r="B44" s="1855"/>
      <c r="C44" s="73">
        <v>2018</v>
      </c>
      <c r="D44" s="1506"/>
      <c r="E44" s="585"/>
      <c r="F44" s="7"/>
      <c r="G44" s="35"/>
      <c r="H44" s="35"/>
    </row>
    <row r="45" spans="1:17">
      <c r="A45" s="1854"/>
      <c r="B45" s="1855"/>
      <c r="C45" s="73">
        <v>2019</v>
      </c>
      <c r="D45" s="1506"/>
      <c r="E45" s="1633"/>
      <c r="F45" s="7"/>
      <c r="G45" s="35"/>
      <c r="H45" s="35"/>
    </row>
    <row r="46" spans="1:17">
      <c r="A46" s="1854"/>
      <c r="B46" s="1855"/>
      <c r="C46" s="73">
        <v>2020</v>
      </c>
      <c r="D46" s="1506"/>
      <c r="E46" s="1633"/>
      <c r="F46" s="7"/>
      <c r="G46" s="35"/>
      <c r="H46" s="35"/>
    </row>
    <row r="47" spans="1:17" ht="15.75" thickBot="1">
      <c r="A47" s="1856"/>
      <c r="B47" s="1857"/>
      <c r="C47" s="42" t="s">
        <v>13</v>
      </c>
      <c r="D47" s="43">
        <f>SUM(D40:D46)</f>
        <v>491096</v>
      </c>
      <c r="E47" s="455">
        <f>SUM(E40:E46)</f>
        <v>73770</v>
      </c>
      <c r="F47" s="78"/>
      <c r="G47" s="35"/>
      <c r="H47" s="35"/>
    </row>
    <row r="48" spans="1:17" s="35" customFormat="1" ht="15.75" thickBot="1">
      <c r="A48" s="1595"/>
      <c r="B48" s="80"/>
      <c r="C48" s="81"/>
    </row>
    <row r="49" spans="1:15" ht="83.25" customHeight="1">
      <c r="A49" s="82" t="s">
        <v>32</v>
      </c>
      <c r="B49" s="1545"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427" t="s">
        <v>44</v>
      </c>
      <c r="B60" s="1616"/>
      <c r="C60" s="2429" t="s">
        <v>9</v>
      </c>
      <c r="D60" s="2417" t="s">
        <v>45</v>
      </c>
      <c r="E60" s="96" t="s">
        <v>6</v>
      </c>
      <c r="F60" s="1542"/>
      <c r="G60" s="1542"/>
      <c r="H60" s="1542"/>
      <c r="I60" s="1542"/>
      <c r="J60" s="1542"/>
      <c r="K60" s="1542"/>
      <c r="L60" s="1543"/>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ht="15" customHeight="1">
      <c r="A62" s="2576" t="s">
        <v>455</v>
      </c>
      <c r="B62" s="2577"/>
      <c r="C62" s="1635">
        <v>2014</v>
      </c>
      <c r="D62" s="1619"/>
      <c r="E62" s="1636"/>
      <c r="F62" s="1637"/>
      <c r="G62" s="1637"/>
      <c r="H62" s="1637"/>
      <c r="I62" s="1637"/>
      <c r="J62" s="1637"/>
      <c r="K62" s="1637"/>
      <c r="L62" s="1620"/>
      <c r="M62" s="7"/>
      <c r="N62" s="7"/>
      <c r="O62" s="7"/>
    </row>
    <row r="63" spans="1:15">
      <c r="A63" s="2576"/>
      <c r="B63" s="2577"/>
      <c r="C63" s="1634">
        <v>2015</v>
      </c>
      <c r="D63" s="578">
        <v>5</v>
      </c>
      <c r="E63" s="590">
        <v>5</v>
      </c>
      <c r="F63" s="578"/>
      <c r="G63" s="345"/>
      <c r="H63" s="345"/>
      <c r="I63" s="345"/>
      <c r="J63" s="345"/>
      <c r="K63" s="345"/>
      <c r="L63" s="593"/>
      <c r="M63" s="7"/>
      <c r="N63" s="7"/>
      <c r="O63" s="7"/>
    </row>
    <row r="64" spans="1:15">
      <c r="A64" s="2576"/>
      <c r="B64" s="2577"/>
      <c r="C64" s="1638">
        <v>2016</v>
      </c>
      <c r="D64" s="578">
        <v>68</v>
      </c>
      <c r="E64" s="590">
        <v>68</v>
      </c>
      <c r="F64" s="578"/>
      <c r="G64" s="578"/>
      <c r="H64" s="578"/>
      <c r="I64" s="578"/>
      <c r="J64" s="578"/>
      <c r="K64" s="578"/>
      <c r="L64" s="397"/>
      <c r="M64" s="7"/>
      <c r="N64" s="7"/>
      <c r="O64" s="7"/>
    </row>
    <row r="65" spans="1:20">
      <c r="A65" s="2576"/>
      <c r="B65" s="2577"/>
      <c r="C65" s="1638">
        <v>2017</v>
      </c>
      <c r="D65" s="578">
        <f>21+23+2</f>
        <v>46</v>
      </c>
      <c r="E65" s="590">
        <f>D65</f>
        <v>46</v>
      </c>
      <c r="F65" s="578"/>
      <c r="G65" s="578"/>
      <c r="H65" s="578"/>
      <c r="I65" s="578"/>
      <c r="J65" s="578"/>
      <c r="K65" s="578"/>
      <c r="L65" s="397"/>
      <c r="M65" s="7"/>
      <c r="N65" s="7"/>
      <c r="O65" s="7"/>
    </row>
    <row r="66" spans="1:20">
      <c r="A66" s="2576"/>
      <c r="B66" s="2577"/>
      <c r="C66" s="1638">
        <v>2018</v>
      </c>
      <c r="D66" s="578"/>
      <c r="E66" s="590"/>
      <c r="F66" s="578"/>
      <c r="G66" s="578"/>
      <c r="H66" s="578"/>
      <c r="I66" s="578"/>
      <c r="J66" s="578"/>
      <c r="K66" s="578"/>
      <c r="L66" s="397"/>
      <c r="M66" s="7"/>
      <c r="N66" s="7"/>
      <c r="O66" s="7"/>
    </row>
    <row r="67" spans="1:20" ht="17.25" customHeight="1">
      <c r="A67" s="2576"/>
      <c r="B67" s="2577"/>
      <c r="C67" s="1638">
        <v>2019</v>
      </c>
      <c r="D67" s="345"/>
      <c r="E67" s="1639"/>
      <c r="F67" s="345"/>
      <c r="G67" s="345"/>
      <c r="H67" s="345"/>
      <c r="I67" s="345"/>
      <c r="J67" s="345"/>
      <c r="K67" s="345"/>
      <c r="L67" s="593"/>
      <c r="M67" s="7"/>
      <c r="N67" s="7"/>
      <c r="O67" s="7"/>
    </row>
    <row r="68" spans="1:20" ht="16.5" customHeight="1">
      <c r="A68" s="2576"/>
      <c r="B68" s="2577"/>
      <c r="C68" s="1638">
        <v>2020</v>
      </c>
      <c r="D68" s="345"/>
      <c r="E68" s="1639"/>
      <c r="F68" s="345"/>
      <c r="G68" s="345"/>
      <c r="H68" s="345"/>
      <c r="I68" s="345"/>
      <c r="J68" s="345"/>
      <c r="K68" s="345"/>
      <c r="L68" s="593"/>
      <c r="M68" s="78"/>
      <c r="N68" s="78"/>
      <c r="O68" s="78"/>
    </row>
    <row r="69" spans="1:20" ht="15.75" thickBot="1">
      <c r="A69" s="2576"/>
      <c r="B69" s="2577"/>
      <c r="C69" s="1640" t="s">
        <v>13</v>
      </c>
      <c r="D69" s="114">
        <f>SUM(D62:D68)</f>
        <v>119</v>
      </c>
      <c r="E69" s="115">
        <f>SUM(E62:E68)</f>
        <v>119</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544" t="s">
        <v>47</v>
      </c>
      <c r="B71" s="1545"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578" t="s">
        <v>456</v>
      </c>
      <c r="B72" s="2580" t="s">
        <v>457</v>
      </c>
      <c r="C72" s="72">
        <v>2014</v>
      </c>
      <c r="D72" s="1641"/>
      <c r="E72" s="1641"/>
      <c r="F72" s="1641"/>
      <c r="G72" s="1642">
        <f>SUM(D72:F72)</f>
        <v>0</v>
      </c>
      <c r="H72" s="1492"/>
      <c r="I72" s="1643"/>
      <c r="J72" s="1644"/>
      <c r="K72" s="1644"/>
      <c r="L72" s="1644"/>
      <c r="M72" s="1644"/>
      <c r="N72" s="1644"/>
      <c r="O72" s="1645"/>
    </row>
    <row r="73" spans="1:20">
      <c r="A73" s="2578"/>
      <c r="B73" s="2580"/>
      <c r="C73" s="73">
        <v>2015</v>
      </c>
      <c r="D73" s="439"/>
      <c r="E73" s="439"/>
      <c r="F73" s="439"/>
      <c r="G73" s="1642">
        <f t="shared" ref="G73:G78" si="5">SUM(D73:F73)</f>
        <v>0</v>
      </c>
      <c r="H73" s="584"/>
      <c r="I73" s="584"/>
      <c r="J73" s="578"/>
      <c r="K73" s="578"/>
      <c r="L73" s="578"/>
      <c r="M73" s="578"/>
      <c r="N73" s="578"/>
      <c r="O73" s="397"/>
    </row>
    <row r="74" spans="1:20">
      <c r="A74" s="2578"/>
      <c r="B74" s="2580"/>
      <c r="C74" s="73">
        <v>2016</v>
      </c>
      <c r="D74" s="439"/>
      <c r="E74" s="439">
        <v>6</v>
      </c>
      <c r="F74" s="439"/>
      <c r="G74" s="1642">
        <f t="shared" si="5"/>
        <v>6</v>
      </c>
      <c r="H74" s="584">
        <v>6</v>
      </c>
      <c r="I74" s="584"/>
      <c r="J74" s="578"/>
      <c r="K74" s="578"/>
      <c r="L74" s="578"/>
      <c r="M74" s="578"/>
      <c r="N74" s="578"/>
      <c r="O74" s="397"/>
    </row>
    <row r="75" spans="1:20">
      <c r="A75" s="2578"/>
      <c r="B75" s="2580"/>
      <c r="C75" s="73">
        <v>2017</v>
      </c>
      <c r="D75" s="439"/>
      <c r="E75" s="439">
        <v>5</v>
      </c>
      <c r="F75" s="439">
        <v>3</v>
      </c>
      <c r="G75" s="1642">
        <f t="shared" si="5"/>
        <v>8</v>
      </c>
      <c r="H75" s="584">
        <v>8</v>
      </c>
      <c r="I75" s="584"/>
      <c r="J75" s="578"/>
      <c r="K75" s="578"/>
      <c r="L75" s="578"/>
      <c r="M75" s="578"/>
      <c r="N75" s="578"/>
      <c r="O75" s="397"/>
    </row>
    <row r="76" spans="1:20">
      <c r="A76" s="2578"/>
      <c r="B76" s="2580"/>
      <c r="C76" s="73">
        <v>2018</v>
      </c>
      <c r="D76" s="439"/>
      <c r="E76" s="439"/>
      <c r="F76" s="439"/>
      <c r="G76" s="1642">
        <f t="shared" si="5"/>
        <v>0</v>
      </c>
      <c r="H76" s="584"/>
      <c r="I76" s="584"/>
      <c r="J76" s="578"/>
      <c r="K76" s="578"/>
      <c r="L76" s="578"/>
      <c r="M76" s="578"/>
      <c r="N76" s="578"/>
      <c r="O76" s="397"/>
    </row>
    <row r="77" spans="1:20" ht="15.75" customHeight="1">
      <c r="A77" s="2578"/>
      <c r="B77" s="2580"/>
      <c r="C77" s="73">
        <v>2019</v>
      </c>
      <c r="D77" s="439"/>
      <c r="E77" s="439"/>
      <c r="F77" s="439"/>
      <c r="G77" s="1642">
        <f t="shared" si="5"/>
        <v>0</v>
      </c>
      <c r="H77" s="584"/>
      <c r="I77" s="584"/>
      <c r="J77" s="578"/>
      <c r="K77" s="578"/>
      <c r="L77" s="578"/>
      <c r="M77" s="578"/>
      <c r="N77" s="578"/>
      <c r="O77" s="397"/>
    </row>
    <row r="78" spans="1:20" ht="17.25" customHeight="1">
      <c r="A78" s="2578"/>
      <c r="B78" s="2580"/>
      <c r="C78" s="73">
        <v>2020</v>
      </c>
      <c r="D78" s="439"/>
      <c r="E78" s="439"/>
      <c r="F78" s="439"/>
      <c r="G78" s="1642">
        <f t="shared" si="5"/>
        <v>0</v>
      </c>
      <c r="H78" s="584"/>
      <c r="I78" s="584"/>
      <c r="J78" s="578"/>
      <c r="K78" s="578"/>
      <c r="L78" s="578"/>
      <c r="M78" s="578"/>
      <c r="N78" s="578"/>
      <c r="O78" s="397"/>
    </row>
    <row r="79" spans="1:20" ht="15.75" thickBot="1">
      <c r="A79" s="2579"/>
      <c r="B79" s="2581"/>
      <c r="C79" s="136" t="s">
        <v>13</v>
      </c>
      <c r="D79" s="1646">
        <f>SUM(D72:D78)</f>
        <v>0</v>
      </c>
      <c r="E79" s="1646">
        <f>SUM(E72:E78)</f>
        <v>11</v>
      </c>
      <c r="F79" s="1646">
        <f>SUM(F72:F78)</f>
        <v>3</v>
      </c>
      <c r="G79" s="1647">
        <f>SUM(G72:G78)</f>
        <v>14</v>
      </c>
      <c r="H79" s="1648">
        <v>0</v>
      </c>
      <c r="I79" s="1649">
        <f t="shared" ref="I79:O79" si="6">SUM(I72:I78)</f>
        <v>0</v>
      </c>
      <c r="J79" s="1650">
        <f t="shared" si="6"/>
        <v>0</v>
      </c>
      <c r="K79" s="1650">
        <f t="shared" si="6"/>
        <v>0</v>
      </c>
      <c r="L79" s="1650">
        <f t="shared" si="6"/>
        <v>0</v>
      </c>
      <c r="M79" s="1650">
        <f t="shared" si="6"/>
        <v>0</v>
      </c>
      <c r="N79" s="1650">
        <f t="shared" si="6"/>
        <v>0</v>
      </c>
      <c r="O79" s="1651">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546" t="s">
        <v>56</v>
      </c>
      <c r="B84" s="1547"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05" t="s">
        <v>68</v>
      </c>
      <c r="B96" s="2407" t="s">
        <v>179</v>
      </c>
      <c r="C96" s="2413" t="s">
        <v>9</v>
      </c>
      <c r="D96" s="1916" t="s">
        <v>70</v>
      </c>
      <c r="E96" s="1917"/>
      <c r="F96" s="162" t="s">
        <v>71</v>
      </c>
      <c r="G96" s="1548"/>
      <c r="H96" s="1548"/>
      <c r="I96" s="1548"/>
      <c r="J96" s="1548"/>
      <c r="K96" s="1548"/>
      <c r="L96" s="1548"/>
      <c r="M96" s="1549"/>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05" t="s">
        <v>77</v>
      </c>
      <c r="B107" s="2407" t="s">
        <v>179</v>
      </c>
      <c r="C107" s="2413" t="s">
        <v>9</v>
      </c>
      <c r="D107" s="2414" t="s">
        <v>78</v>
      </c>
      <c r="E107" s="162" t="s">
        <v>79</v>
      </c>
      <c r="F107" s="1548"/>
      <c r="G107" s="1548"/>
      <c r="H107" s="1548"/>
      <c r="I107" s="1548"/>
      <c r="J107" s="1548"/>
      <c r="K107" s="1548"/>
      <c r="L107" s="1549"/>
      <c r="M107" s="185"/>
      <c r="N107" s="185"/>
    </row>
    <row r="108" spans="1:16" ht="110.2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05" t="s">
        <v>81</v>
      </c>
      <c r="B118" s="2407" t="s">
        <v>179</v>
      </c>
      <c r="C118" s="2413" t="s">
        <v>9</v>
      </c>
      <c r="D118" s="2414" t="s">
        <v>82</v>
      </c>
      <c r="E118" s="162" t="s">
        <v>79</v>
      </c>
      <c r="F118" s="1548"/>
      <c r="G118" s="1548"/>
      <c r="H118" s="1548"/>
      <c r="I118" s="1548"/>
      <c r="J118" s="1548"/>
      <c r="K118" s="1548"/>
      <c r="L118" s="1549"/>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05" t="s">
        <v>84</v>
      </c>
      <c r="B129" s="2407" t="s">
        <v>179</v>
      </c>
      <c r="C129" s="1550" t="s">
        <v>9</v>
      </c>
      <c r="D129" s="189" t="s">
        <v>85</v>
      </c>
      <c r="E129" s="1551"/>
      <c r="F129" s="1551"/>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409" t="s">
        <v>91</v>
      </c>
      <c r="B142" s="2402" t="s">
        <v>179</v>
      </c>
      <c r="C142" s="2404" t="s">
        <v>9</v>
      </c>
      <c r="D142" s="1555" t="s">
        <v>92</v>
      </c>
      <c r="E142" s="1556"/>
      <c r="F142" s="1556"/>
      <c r="G142" s="1556"/>
      <c r="H142" s="1556"/>
      <c r="I142" s="1557"/>
      <c r="J142" s="2396" t="s">
        <v>93</v>
      </c>
      <c r="K142" s="2397"/>
      <c r="L142" s="2397"/>
      <c r="M142" s="2397"/>
      <c r="N142" s="2398"/>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400" t="s">
        <v>105</v>
      </c>
      <c r="B153" s="2402" t="s">
        <v>179</v>
      </c>
      <c r="C153" s="2403" t="s">
        <v>9</v>
      </c>
      <c r="D153" s="1563" t="s">
        <v>106</v>
      </c>
      <c r="E153" s="1563"/>
      <c r="F153" s="1564"/>
      <c r="G153" s="1564"/>
      <c r="H153" s="1563" t="s">
        <v>107</v>
      </c>
      <c r="I153" s="1563"/>
      <c r="J153" s="1565"/>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566"/>
      <c r="F163" s="165"/>
      <c r="G163" s="165"/>
      <c r="H163" s="165"/>
      <c r="I163" s="165"/>
      <c r="J163" s="241"/>
      <c r="K163" s="242"/>
    </row>
    <row r="164" spans="1:18" ht="95.25" customHeight="1">
      <c r="A164" s="243" t="s">
        <v>115</v>
      </c>
      <c r="B164" s="405" t="s">
        <v>181</v>
      </c>
      <c r="C164" s="1567" t="s">
        <v>9</v>
      </c>
      <c r="D164" s="246" t="s">
        <v>117</v>
      </c>
      <c r="E164" s="246" t="s">
        <v>118</v>
      </c>
      <c r="F164" s="1568"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389" t="s">
        <v>127</v>
      </c>
      <c r="B176" s="2380" t="s">
        <v>182</v>
      </c>
      <c r="C176" s="2391" t="s">
        <v>9</v>
      </c>
      <c r="D176" s="273" t="s">
        <v>128</v>
      </c>
      <c r="E176" s="1572"/>
      <c r="F176" s="1572"/>
      <c r="G176" s="1573"/>
      <c r="H176" s="276"/>
      <c r="I176" s="1888" t="s">
        <v>129</v>
      </c>
      <c r="J176" s="2393"/>
      <c r="K176" s="2393"/>
      <c r="L176" s="2393"/>
      <c r="M176" s="2393"/>
      <c r="N176" s="2393"/>
      <c r="O176" s="2394"/>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930"/>
      <c r="B178" s="2573"/>
      <c r="C178" s="106">
        <v>2014</v>
      </c>
      <c r="D178" s="30"/>
      <c r="E178" s="31"/>
      <c r="F178" s="31"/>
      <c r="G178" s="284">
        <f>SUM(D178:F178)</f>
        <v>0</v>
      </c>
      <c r="H178" s="155"/>
      <c r="I178" s="155"/>
      <c r="J178" s="31"/>
      <c r="K178" s="31"/>
      <c r="L178" s="31"/>
      <c r="M178" s="31"/>
      <c r="N178" s="31"/>
      <c r="O178" s="34"/>
    </row>
    <row r="179" spans="1:15">
      <c r="A179" s="1930"/>
      <c r="B179" s="2574"/>
      <c r="C179" s="110">
        <v>2015</v>
      </c>
      <c r="D179" s="37"/>
      <c r="E179" s="38"/>
      <c r="F179" s="38"/>
      <c r="G179" s="284">
        <f t="shared" ref="G179:G184" si="19">SUM(D179:F179)</f>
        <v>0</v>
      </c>
      <c r="H179" s="411"/>
      <c r="I179" s="112"/>
      <c r="J179" s="38"/>
      <c r="K179" s="38"/>
      <c r="L179" s="38"/>
      <c r="M179" s="38"/>
      <c r="N179" s="38"/>
      <c r="O179" s="88"/>
    </row>
    <row r="180" spans="1:15">
      <c r="A180" s="1930"/>
      <c r="B180" s="2574"/>
      <c r="C180" s="110">
        <v>2016</v>
      </c>
      <c r="D180" s="1506"/>
      <c r="E180" s="345"/>
      <c r="F180" s="38"/>
      <c r="G180" s="284">
        <f t="shared" si="19"/>
        <v>0</v>
      </c>
      <c r="H180" s="411"/>
      <c r="I180" s="112"/>
      <c r="J180" s="38"/>
      <c r="K180" s="38"/>
      <c r="L180" s="38"/>
      <c r="M180" s="38"/>
      <c r="N180" s="38"/>
      <c r="O180" s="88"/>
    </row>
    <row r="181" spans="1:15">
      <c r="A181" s="1930"/>
      <c r="B181" s="2574"/>
      <c r="C181" s="110">
        <v>2017</v>
      </c>
      <c r="D181" s="37"/>
      <c r="E181" s="38"/>
      <c r="F181" s="38"/>
      <c r="G181" s="284">
        <f t="shared" si="19"/>
        <v>0</v>
      </c>
      <c r="H181" s="411"/>
      <c r="I181" s="112"/>
      <c r="J181" s="38"/>
      <c r="K181" s="38"/>
      <c r="L181" s="38"/>
      <c r="M181" s="38"/>
      <c r="N181" s="38"/>
      <c r="O181" s="88"/>
    </row>
    <row r="182" spans="1:15">
      <c r="A182" s="1930"/>
      <c r="B182" s="2574"/>
      <c r="C182" s="110">
        <v>2018</v>
      </c>
      <c r="D182" s="37"/>
      <c r="E182" s="38"/>
      <c r="F182" s="38"/>
      <c r="G182" s="284">
        <f t="shared" si="19"/>
        <v>0</v>
      </c>
      <c r="H182" s="411"/>
      <c r="I182" s="112"/>
      <c r="J182" s="38"/>
      <c r="K182" s="38"/>
      <c r="L182" s="38"/>
      <c r="M182" s="38"/>
      <c r="N182" s="38"/>
      <c r="O182" s="88"/>
    </row>
    <row r="183" spans="1:15">
      <c r="A183" s="1930"/>
      <c r="B183" s="2574"/>
      <c r="C183" s="110">
        <v>2019</v>
      </c>
      <c r="D183" s="37"/>
      <c r="E183" s="38"/>
      <c r="F183" s="38"/>
      <c r="G183" s="284">
        <f t="shared" si="19"/>
        <v>0</v>
      </c>
      <c r="H183" s="411"/>
      <c r="I183" s="112"/>
      <c r="J183" s="38"/>
      <c r="K183" s="38"/>
      <c r="L183" s="38"/>
      <c r="M183" s="38"/>
      <c r="N183" s="38"/>
      <c r="O183" s="88"/>
    </row>
    <row r="184" spans="1:15">
      <c r="A184" s="1930"/>
      <c r="B184" s="2574"/>
      <c r="C184" s="110">
        <v>2020</v>
      </c>
      <c r="D184" s="37"/>
      <c r="E184" s="38"/>
      <c r="F184" s="38"/>
      <c r="G184" s="284">
        <f t="shared" si="19"/>
        <v>0</v>
      </c>
      <c r="H184" s="411"/>
      <c r="I184" s="112"/>
      <c r="J184" s="38"/>
      <c r="K184" s="38"/>
      <c r="L184" s="38"/>
      <c r="M184" s="38"/>
      <c r="N184" s="38"/>
      <c r="O184" s="88"/>
    </row>
    <row r="185" spans="1:15" ht="15.75" customHeight="1" thickBot="1">
      <c r="A185" s="2572"/>
      <c r="B185" s="2575"/>
      <c r="C185" s="113" t="s">
        <v>13</v>
      </c>
      <c r="D185" s="139">
        <f>SUM(D178:D184)</f>
        <v>0</v>
      </c>
      <c r="E185" s="116">
        <f>SUM(E178:E184)</f>
        <v>0</v>
      </c>
      <c r="F185" s="116">
        <f>SUM(F178:F184)</f>
        <v>0</v>
      </c>
      <c r="G185" s="220">
        <f t="shared" ref="G185:O185" si="20">SUM(G178:G184)</f>
        <v>0</v>
      </c>
      <c r="H185" s="285">
        <f t="shared" si="20"/>
        <v>0</v>
      </c>
      <c r="I185" s="115">
        <f t="shared" si="20"/>
        <v>0</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380" t="s">
        <v>182</v>
      </c>
      <c r="C187" s="1865" t="s">
        <v>9</v>
      </c>
      <c r="D187" s="1867" t="s">
        <v>138</v>
      </c>
      <c r="E187" s="2381"/>
      <c r="F187" s="2381"/>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c r="B189" s="1977"/>
      <c r="C189" s="290">
        <v>2014</v>
      </c>
      <c r="D189" s="133"/>
      <c r="E189" s="109"/>
      <c r="F189" s="109"/>
      <c r="G189" s="291">
        <f>SUM(D189:F189)</f>
        <v>0</v>
      </c>
      <c r="H189" s="108"/>
      <c r="I189" s="109"/>
      <c r="J189" s="109"/>
      <c r="K189" s="109"/>
      <c r="L189" s="134"/>
    </row>
    <row r="190" spans="1:15">
      <c r="A190" s="1978"/>
      <c r="B190" s="1855"/>
      <c r="C190" s="73">
        <v>2015</v>
      </c>
      <c r="D190" s="37"/>
      <c r="E190" s="38"/>
      <c r="F190" s="38"/>
      <c r="G190" s="291">
        <f t="shared" ref="G190:G195" si="21">SUM(D190:F190)</f>
        <v>0</v>
      </c>
      <c r="H190" s="112"/>
      <c r="I190" s="38"/>
      <c r="J190" s="38"/>
      <c r="K190" s="38"/>
      <c r="L190" s="88"/>
    </row>
    <row r="191" spans="1:15">
      <c r="A191" s="1978"/>
      <c r="B191" s="1855"/>
      <c r="C191" s="73">
        <v>2016</v>
      </c>
      <c r="D191" s="37"/>
      <c r="E191" s="38"/>
      <c r="F191" s="38"/>
      <c r="G191" s="291">
        <f t="shared" si="21"/>
        <v>0</v>
      </c>
      <c r="H191" s="112"/>
      <c r="I191" s="38"/>
      <c r="J191" s="38"/>
      <c r="K191" s="38"/>
      <c r="L191" s="88"/>
    </row>
    <row r="192" spans="1:15">
      <c r="A192" s="1978"/>
      <c r="B192" s="1855"/>
      <c r="C192" s="73">
        <v>2017</v>
      </c>
      <c r="D192" s="37"/>
      <c r="E192" s="38"/>
      <c r="F192" s="38"/>
      <c r="G192" s="291">
        <f t="shared" si="21"/>
        <v>0</v>
      </c>
      <c r="H192" s="112"/>
      <c r="I192" s="38"/>
      <c r="J192" s="38"/>
      <c r="K192" s="38"/>
      <c r="L192" s="88"/>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0</v>
      </c>
      <c r="E196" s="116">
        <f t="shared" si="22"/>
        <v>0</v>
      </c>
      <c r="F196" s="116">
        <f t="shared" si="22"/>
        <v>0</v>
      </c>
      <c r="G196" s="292">
        <f t="shared" si="22"/>
        <v>0</v>
      </c>
      <c r="H196" s="115">
        <f t="shared" si="22"/>
        <v>0</v>
      </c>
      <c r="I196" s="116">
        <f t="shared" si="22"/>
        <v>0</v>
      </c>
      <c r="J196" s="116">
        <f t="shared" si="22"/>
        <v>0</v>
      </c>
      <c r="K196" s="116">
        <f t="shared" si="22"/>
        <v>0</v>
      </c>
      <c r="L196" s="117">
        <f t="shared" si="22"/>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574" t="s">
        <v>150</v>
      </c>
      <c r="B201" s="417" t="s">
        <v>182</v>
      </c>
      <c r="C201" s="298" t="s">
        <v>9</v>
      </c>
      <c r="D201" s="299" t="s">
        <v>151</v>
      </c>
      <c r="E201" s="300" t="s">
        <v>152</v>
      </c>
      <c r="F201" s="300" t="s">
        <v>153</v>
      </c>
      <c r="G201" s="298" t="s">
        <v>154</v>
      </c>
      <c r="H201" s="1575"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576" t="s">
        <v>161</v>
      </c>
      <c r="B212" s="322" t="s">
        <v>162</v>
      </c>
      <c r="C212" s="323">
        <v>2014</v>
      </c>
      <c r="D212" s="324">
        <v>2015</v>
      </c>
      <c r="E212" s="324">
        <v>2016</v>
      </c>
      <c r="F212" s="324">
        <v>2017</v>
      </c>
      <c r="G212" s="324">
        <v>2018</v>
      </c>
      <c r="H212" s="324">
        <v>2019</v>
      </c>
      <c r="I212" s="325">
        <v>2020</v>
      </c>
    </row>
    <row r="213" spans="1:12" ht="15" customHeight="1">
      <c r="A213" t="s">
        <v>163</v>
      </c>
      <c r="B213" s="1652"/>
      <c r="C213" s="72"/>
      <c r="D213" s="1653">
        <f>D214</f>
        <v>9191.85</v>
      </c>
      <c r="E213" s="447">
        <f>E214</f>
        <v>117783.11</v>
      </c>
      <c r="F213" s="447">
        <f>F214</f>
        <v>158681.43</v>
      </c>
      <c r="G213" s="1505"/>
      <c r="H213" s="1505"/>
      <c r="I213" s="1654"/>
    </row>
    <row r="214" spans="1:12">
      <c r="A214" t="s">
        <v>164</v>
      </c>
      <c r="B214" s="1652"/>
      <c r="C214" s="72"/>
      <c r="D214" s="1655">
        <v>9191.85</v>
      </c>
      <c r="E214" s="447">
        <v>117783.11</v>
      </c>
      <c r="F214" s="447">
        <v>158681.43</v>
      </c>
      <c r="G214" s="1505"/>
      <c r="H214" s="1505"/>
      <c r="I214" s="1654"/>
    </row>
    <row r="215" spans="1:12">
      <c r="A215" t="s">
        <v>165</v>
      </c>
      <c r="B215" s="1652"/>
      <c r="C215" s="72"/>
      <c r="D215" s="1656"/>
      <c r="E215" s="447"/>
      <c r="F215" s="447"/>
      <c r="G215" s="1505"/>
      <c r="H215" s="1505"/>
      <c r="I215" s="1654"/>
    </row>
    <row r="216" spans="1:12">
      <c r="A216" t="s">
        <v>166</v>
      </c>
      <c r="B216" s="1652"/>
      <c r="C216" s="72"/>
      <c r="D216" s="1656"/>
      <c r="E216" s="447"/>
      <c r="F216" s="447"/>
      <c r="G216" s="1505"/>
      <c r="H216" s="1505"/>
      <c r="I216" s="1654"/>
    </row>
    <row r="217" spans="1:12">
      <c r="A217" t="s">
        <v>167</v>
      </c>
      <c r="B217" s="1652"/>
      <c r="C217" s="72"/>
      <c r="D217" s="1656"/>
      <c r="E217" s="447"/>
      <c r="F217" s="447"/>
      <c r="G217" s="1505"/>
      <c r="H217" s="1505"/>
      <c r="I217" s="1654"/>
    </row>
    <row r="218" spans="1:12" ht="159.75" customHeight="1">
      <c r="A218" s="2570" t="s">
        <v>458</v>
      </c>
      <c r="B218" s="2571"/>
      <c r="C218" s="72"/>
      <c r="D218" s="1655">
        <v>100000</v>
      </c>
      <c r="E218" s="447">
        <v>83426.12</v>
      </c>
      <c r="F218" s="447">
        <v>72385.87</v>
      </c>
      <c r="H218" s="1505"/>
      <c r="I218" s="1654"/>
    </row>
    <row r="219" spans="1:12" ht="15.75" thickBot="1">
      <c r="A219" s="1532"/>
      <c r="B219" s="1657"/>
      <c r="C219" s="42" t="s">
        <v>13</v>
      </c>
      <c r="D219" s="1658">
        <f>SUM(D214:D218)</f>
        <v>109191.85</v>
      </c>
      <c r="E219" s="450">
        <f t="shared" ref="E219:I219" si="24">SUM(E214:E218)</f>
        <v>201209.22999999998</v>
      </c>
      <c r="F219" s="450">
        <f>SUM(F214:F218)</f>
        <v>231067.3</v>
      </c>
      <c r="G219" s="333">
        <f>SUM(G214:G218)</f>
        <v>0</v>
      </c>
      <c r="H219" s="333">
        <f t="shared" si="24"/>
        <v>0</v>
      </c>
      <c r="I219" s="333">
        <f t="shared" si="24"/>
        <v>0</v>
      </c>
    </row>
    <row r="227" spans="1:1">
      <c r="A227" s="56"/>
    </row>
    <row r="231" spans="1:1" ht="13.5" customHeight="1"/>
  </sheetData>
  <mergeCells count="58">
    <mergeCell ref="D60:D61"/>
    <mergeCell ref="B1:F1"/>
    <mergeCell ref="F3:O3"/>
    <mergeCell ref="A4:O10"/>
    <mergeCell ref="D15:G15"/>
    <mergeCell ref="A17:B24"/>
    <mergeCell ref="D26:G26"/>
    <mergeCell ref="A28:B35"/>
    <mergeCell ref="A40:B47"/>
    <mergeCell ref="A50:B58"/>
    <mergeCell ref="A60:A61"/>
    <mergeCell ref="C60:C61"/>
    <mergeCell ref="A62:B69"/>
    <mergeCell ref="A72:A79"/>
    <mergeCell ref="B72:B79"/>
    <mergeCell ref="A85:B92"/>
    <mergeCell ref="A96:A97"/>
    <mergeCell ref="B96:B97"/>
    <mergeCell ref="A120:B127"/>
    <mergeCell ref="C96:C97"/>
    <mergeCell ref="D96:E96"/>
    <mergeCell ref="A98:B105"/>
    <mergeCell ref="A107:A108"/>
    <mergeCell ref="B107:B108"/>
    <mergeCell ref="C107:C108"/>
    <mergeCell ref="D107:D108"/>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A185"/>
    <mergeCell ref="B178:B185"/>
    <mergeCell ref="A202:B209"/>
    <mergeCell ref="A218:B218"/>
    <mergeCell ref="A187:A188"/>
    <mergeCell ref="B187:B188"/>
    <mergeCell ref="C187:C18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16"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459</v>
      </c>
      <c r="C1" s="1944"/>
      <c r="D1" s="1944"/>
      <c r="E1" s="1944"/>
      <c r="F1" s="1944"/>
    </row>
    <row r="2" spans="1:25" s="1" customFormat="1" ht="20.100000000000001" customHeight="1" thickBot="1"/>
    <row r="3" spans="1:25" s="4" customFormat="1" ht="20.100000000000001" customHeight="1">
      <c r="A3" s="1584" t="s">
        <v>2</v>
      </c>
      <c r="B3" s="1585"/>
      <c r="C3" s="1585"/>
      <c r="D3" s="1585"/>
      <c r="E3" s="1585"/>
      <c r="F3" s="2418"/>
      <c r="G3" s="2418"/>
      <c r="H3" s="2418"/>
      <c r="I3" s="2418"/>
      <c r="J3" s="2418"/>
      <c r="K3" s="2418"/>
      <c r="L3" s="2418"/>
      <c r="M3" s="2418"/>
      <c r="N3" s="2418"/>
      <c r="O3" s="2419"/>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659"/>
      <c r="B15" s="1660"/>
      <c r="C15" s="10"/>
      <c r="D15" s="1953" t="s">
        <v>5</v>
      </c>
      <c r="E15" s="2611"/>
      <c r="F15" s="2611"/>
      <c r="G15" s="2611"/>
      <c r="H15" s="11"/>
      <c r="I15" s="12" t="s">
        <v>6</v>
      </c>
      <c r="J15" s="13"/>
      <c r="K15" s="13"/>
      <c r="L15" s="13"/>
      <c r="M15" s="13"/>
      <c r="N15" s="13"/>
      <c r="O15" s="14"/>
      <c r="P15" s="15"/>
      <c r="Q15" s="16"/>
      <c r="R15" s="17"/>
      <c r="S15" s="17"/>
      <c r="T15" s="17"/>
      <c r="U15" s="17"/>
      <c r="V15" s="17"/>
      <c r="W15" s="15"/>
      <c r="X15" s="15"/>
      <c r="Y15" s="16"/>
    </row>
    <row r="16" spans="1:25" s="56" customFormat="1" ht="129" customHeight="1">
      <c r="A16" s="1661"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588" t="s">
        <v>460</v>
      </c>
      <c r="B17" s="2513"/>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610"/>
      <c r="B18" s="2513"/>
      <c r="C18" s="36">
        <v>2015</v>
      </c>
      <c r="D18" s="37"/>
      <c r="E18" s="38"/>
      <c r="F18" s="38"/>
      <c r="G18" s="32">
        <f>SUM(D18:F18)</f>
        <v>0</v>
      </c>
      <c r="H18" s="39"/>
      <c r="I18" s="38"/>
      <c r="J18" s="38"/>
      <c r="K18" s="38"/>
      <c r="L18" s="38"/>
      <c r="M18" s="38"/>
      <c r="N18" s="38"/>
      <c r="O18" s="40"/>
      <c r="P18" s="35"/>
      <c r="Q18" s="35"/>
      <c r="R18" s="35"/>
      <c r="S18" s="35"/>
      <c r="T18" s="35"/>
      <c r="U18" s="35"/>
      <c r="V18" s="35"/>
      <c r="W18" s="35"/>
      <c r="X18" s="35"/>
      <c r="Y18" s="35"/>
    </row>
    <row r="19" spans="1:25">
      <c r="A19" s="2610"/>
      <c r="B19" s="2513"/>
      <c r="C19" s="36">
        <v>2016</v>
      </c>
      <c r="D19" s="37">
        <v>5</v>
      </c>
      <c r="E19" s="38">
        <v>1</v>
      </c>
      <c r="F19" s="38"/>
      <c r="G19" s="32">
        <f t="shared" si="0"/>
        <v>6</v>
      </c>
      <c r="H19" s="39">
        <v>6</v>
      </c>
      <c r="I19" s="38"/>
      <c r="J19" s="38"/>
      <c r="K19" s="38"/>
      <c r="L19" s="38"/>
      <c r="M19" s="38"/>
      <c r="N19" s="38"/>
      <c r="O19" s="40"/>
      <c r="P19" s="35"/>
      <c r="Q19" s="35"/>
      <c r="R19" s="35"/>
      <c r="S19" s="35"/>
      <c r="T19" s="35"/>
      <c r="U19" s="35"/>
      <c r="V19" s="35"/>
      <c r="W19" s="35"/>
      <c r="X19" s="35"/>
      <c r="Y19" s="35"/>
    </row>
    <row r="20" spans="1:25">
      <c r="A20" s="2610"/>
      <c r="B20" s="2513"/>
      <c r="C20" s="36">
        <v>2017</v>
      </c>
      <c r="D20" s="37">
        <v>6</v>
      </c>
      <c r="E20" s="38"/>
      <c r="F20" s="38">
        <v>1</v>
      </c>
      <c r="G20" s="32">
        <f t="shared" si="0"/>
        <v>7</v>
      </c>
      <c r="H20" s="39">
        <v>7</v>
      </c>
      <c r="I20" s="38"/>
      <c r="J20" s="38"/>
      <c r="K20" s="38"/>
      <c r="L20" s="38"/>
      <c r="M20" s="38"/>
      <c r="N20" s="38"/>
      <c r="O20" s="40"/>
      <c r="P20" s="35"/>
      <c r="Q20" s="35"/>
      <c r="R20" s="35"/>
      <c r="S20" s="35"/>
      <c r="T20" s="35"/>
      <c r="U20" s="35"/>
      <c r="V20" s="35"/>
      <c r="W20" s="35"/>
      <c r="X20" s="35"/>
      <c r="Y20" s="35"/>
    </row>
    <row r="21" spans="1:25">
      <c r="A21" s="2610"/>
      <c r="B21" s="2513"/>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610"/>
      <c r="B22" s="2513"/>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610"/>
      <c r="B23" s="2513"/>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85.25" customHeight="1" thickBot="1">
      <c r="A24" s="2612"/>
      <c r="B24" s="2515"/>
      <c r="C24" s="42" t="s">
        <v>13</v>
      </c>
      <c r="D24" s="43">
        <f>SUM(D17:D23)</f>
        <v>11</v>
      </c>
      <c r="E24" s="44">
        <f>SUM(E17:E23)</f>
        <v>1</v>
      </c>
      <c r="F24" s="44">
        <f>SUM(F17:F23)</f>
        <v>1</v>
      </c>
      <c r="G24" s="45">
        <f>SUM(D24:F24)</f>
        <v>13</v>
      </c>
      <c r="H24" s="46">
        <f>SUM(H17:H23)</f>
        <v>13</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659"/>
      <c r="B26" s="1660"/>
      <c r="C26" s="50"/>
      <c r="D26" s="1959" t="s">
        <v>5</v>
      </c>
      <c r="E26" s="2613"/>
      <c r="F26" s="2613"/>
      <c r="G26" s="2614"/>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588" t="s">
        <v>461</v>
      </c>
      <c r="B28" s="2615"/>
      <c r="C28" s="57">
        <v>2014</v>
      </c>
      <c r="D28" s="33"/>
      <c r="E28" s="31"/>
      <c r="F28" s="31"/>
      <c r="G28" s="58">
        <f>SUM(D28:F28)</f>
        <v>0</v>
      </c>
      <c r="H28" s="35"/>
      <c r="I28" s="35"/>
      <c r="J28" s="35"/>
      <c r="K28" s="35"/>
      <c r="L28" s="35"/>
      <c r="M28" s="35"/>
      <c r="N28" s="35"/>
      <c r="O28" s="35"/>
      <c r="P28" s="35"/>
      <c r="Q28" s="7"/>
    </row>
    <row r="29" spans="1:25">
      <c r="A29" s="2065"/>
      <c r="B29" s="2615"/>
      <c r="C29" s="59">
        <v>2015</v>
      </c>
      <c r="D29" s="39"/>
      <c r="E29" s="38"/>
      <c r="F29" s="38"/>
      <c r="G29" s="58">
        <f t="shared" ref="G29:G35" si="2">SUM(D29:F29)</f>
        <v>0</v>
      </c>
      <c r="H29" s="35"/>
      <c r="I29" s="35"/>
      <c r="J29" s="35"/>
      <c r="K29" s="35"/>
      <c r="L29" s="35"/>
      <c r="M29" s="35"/>
      <c r="N29" s="35"/>
      <c r="O29" s="35"/>
      <c r="P29" s="35"/>
      <c r="Q29" s="7"/>
    </row>
    <row r="30" spans="1:25">
      <c r="A30" s="2065"/>
      <c r="B30" s="2615"/>
      <c r="C30" s="59">
        <v>2016</v>
      </c>
      <c r="D30" s="39">
        <v>57000</v>
      </c>
      <c r="E30" s="38">
        <v>15000</v>
      </c>
      <c r="F30" s="38"/>
      <c r="G30" s="58">
        <f t="shared" si="2"/>
        <v>72000</v>
      </c>
      <c r="H30" s="35"/>
      <c r="I30" s="35"/>
      <c r="J30" s="35"/>
      <c r="K30" s="35"/>
      <c r="L30" s="35"/>
      <c r="M30" s="35"/>
      <c r="N30" s="35"/>
      <c r="O30" s="35"/>
      <c r="P30" s="35"/>
      <c r="Q30" s="7"/>
    </row>
    <row r="31" spans="1:25">
      <c r="A31" s="2065"/>
      <c r="B31" s="2615"/>
      <c r="C31" s="59">
        <v>2017</v>
      </c>
      <c r="D31" s="39">
        <v>49500</v>
      </c>
      <c r="E31" s="38"/>
      <c r="F31" s="38">
        <v>31000</v>
      </c>
      <c r="G31" s="58">
        <f t="shared" si="2"/>
        <v>80500</v>
      </c>
      <c r="H31" s="35"/>
      <c r="I31" s="35"/>
      <c r="J31" s="35"/>
      <c r="K31" s="35"/>
      <c r="L31" s="35"/>
      <c r="M31" s="35"/>
      <c r="N31" s="35"/>
      <c r="O31" s="35"/>
      <c r="P31" s="35"/>
      <c r="Q31" s="7"/>
    </row>
    <row r="32" spans="1:25">
      <c r="A32" s="2065"/>
      <c r="B32" s="2615"/>
      <c r="C32" s="59">
        <v>2018</v>
      </c>
      <c r="D32" s="39"/>
      <c r="E32" s="38"/>
      <c r="F32" s="38"/>
      <c r="G32" s="58">
        <f>SUM(D32:F32)</f>
        <v>0</v>
      </c>
      <c r="H32" s="35"/>
      <c r="I32" s="35"/>
      <c r="J32" s="35"/>
      <c r="K32" s="35"/>
      <c r="L32" s="35"/>
      <c r="M32" s="35"/>
      <c r="N32" s="35"/>
      <c r="O32" s="35"/>
      <c r="P32" s="35"/>
      <c r="Q32" s="7"/>
    </row>
    <row r="33" spans="1:17">
      <c r="A33" s="2065"/>
      <c r="B33" s="2615"/>
      <c r="C33" s="60">
        <v>2019</v>
      </c>
      <c r="D33" s="39"/>
      <c r="E33" s="38"/>
      <c r="F33" s="38"/>
      <c r="G33" s="58">
        <f t="shared" si="2"/>
        <v>0</v>
      </c>
      <c r="H33" s="35"/>
      <c r="I33" s="35"/>
      <c r="J33" s="35"/>
      <c r="K33" s="35"/>
      <c r="L33" s="35"/>
      <c r="M33" s="35"/>
      <c r="N33" s="35"/>
      <c r="O33" s="35"/>
      <c r="P33" s="35"/>
      <c r="Q33" s="7"/>
    </row>
    <row r="34" spans="1:17">
      <c r="A34" s="2065"/>
      <c r="B34" s="2615"/>
      <c r="C34" s="59">
        <v>2020</v>
      </c>
      <c r="D34" s="39"/>
      <c r="E34" s="38"/>
      <c r="F34" s="38"/>
      <c r="G34" s="58">
        <f t="shared" si="2"/>
        <v>0</v>
      </c>
      <c r="H34" s="35"/>
      <c r="I34" s="35"/>
      <c r="J34" s="35"/>
      <c r="K34" s="35"/>
      <c r="L34" s="35"/>
      <c r="M34" s="35"/>
      <c r="N34" s="35"/>
      <c r="O34" s="35"/>
      <c r="P34" s="35"/>
      <c r="Q34" s="7"/>
    </row>
    <row r="35" spans="1:17" ht="197.25" customHeight="1" thickBot="1">
      <c r="A35" s="2065"/>
      <c r="B35" s="2615"/>
      <c r="C35" s="61" t="s">
        <v>13</v>
      </c>
      <c r="D35" s="46">
        <f>SUM(D28:D34)</f>
        <v>106500</v>
      </c>
      <c r="E35" s="44">
        <f>SUM(E28:E34)</f>
        <v>15000</v>
      </c>
      <c r="F35" s="44">
        <f>SUM(F28:F34)</f>
        <v>31000</v>
      </c>
      <c r="G35" s="48">
        <f t="shared" si="2"/>
        <v>152500</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662" t="s">
        <v>26</v>
      </c>
      <c r="B39" s="1663" t="s">
        <v>171</v>
      </c>
      <c r="C39" s="68" t="s">
        <v>9</v>
      </c>
      <c r="D39" s="69" t="s">
        <v>28</v>
      </c>
      <c r="E39" s="70" t="s">
        <v>29</v>
      </c>
      <c r="F39" s="71"/>
      <c r="G39" s="28"/>
      <c r="H39" s="28"/>
    </row>
    <row r="40" spans="1:17">
      <c r="A40" s="1874" t="s">
        <v>462</v>
      </c>
      <c r="B40" s="1855"/>
      <c r="C40" s="72">
        <v>2014</v>
      </c>
      <c r="D40" s="30"/>
      <c r="E40" s="29"/>
      <c r="F40" s="7"/>
      <c r="G40" s="35"/>
      <c r="H40" s="35"/>
    </row>
    <row r="41" spans="1:17">
      <c r="A41" s="1854"/>
      <c r="B41" s="1855"/>
      <c r="C41" s="73">
        <v>2015</v>
      </c>
      <c r="D41" s="37">
        <v>185626</v>
      </c>
      <c r="E41" s="36">
        <v>104358</v>
      </c>
      <c r="F41" s="7"/>
      <c r="G41" s="35"/>
      <c r="H41" s="35"/>
    </row>
    <row r="42" spans="1:17">
      <c r="A42" s="1854"/>
      <c r="B42" s="1855"/>
      <c r="C42" s="73">
        <v>2016</v>
      </c>
      <c r="D42" s="37">
        <v>191435</v>
      </c>
      <c r="E42" s="36">
        <v>116115</v>
      </c>
      <c r="F42" s="7"/>
      <c r="G42" s="35"/>
      <c r="H42" s="35"/>
    </row>
    <row r="43" spans="1:17">
      <c r="A43" s="1854"/>
      <c r="B43" s="1855"/>
      <c r="C43" s="73">
        <v>2017</v>
      </c>
      <c r="D43" s="37">
        <v>177309</v>
      </c>
      <c r="E43" s="36">
        <v>111541</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554370</v>
      </c>
      <c r="E47" s="455">
        <f>SUM(E40:E46)</f>
        <v>332014</v>
      </c>
      <c r="F47" s="78"/>
      <c r="G47" s="35"/>
      <c r="H47" s="35"/>
    </row>
    <row r="48" spans="1:17" s="35" customFormat="1" ht="15.75" thickBot="1">
      <c r="A48" s="1664"/>
      <c r="B48" s="80"/>
      <c r="C48" s="81"/>
    </row>
    <row r="49" spans="1:15" ht="83.25" customHeight="1">
      <c r="A49" s="82" t="s">
        <v>32</v>
      </c>
      <c r="B49" s="1663" t="s">
        <v>171</v>
      </c>
      <c r="C49" s="84" t="s">
        <v>9</v>
      </c>
      <c r="D49" s="69" t="s">
        <v>34</v>
      </c>
      <c r="E49" s="85" t="s">
        <v>35</v>
      </c>
      <c r="F49" s="85" t="s">
        <v>36</v>
      </c>
      <c r="G49" s="85" t="s">
        <v>37</v>
      </c>
      <c r="H49" s="85" t="s">
        <v>38</v>
      </c>
      <c r="I49" s="85" t="s">
        <v>39</v>
      </c>
      <c r="J49" s="85" t="s">
        <v>40</v>
      </c>
      <c r="K49" s="86" t="s">
        <v>41</v>
      </c>
    </row>
    <row r="50" spans="1:15" ht="17.25" customHeight="1">
      <c r="A50" s="1872" t="s">
        <v>463</v>
      </c>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v>0</v>
      </c>
      <c r="E53" s="38">
        <v>0</v>
      </c>
      <c r="F53" s="38">
        <v>0</v>
      </c>
      <c r="G53" s="38">
        <v>0</v>
      </c>
      <c r="H53" s="38">
        <v>0</v>
      </c>
      <c r="I53" s="38">
        <v>0</v>
      </c>
      <c r="J53" s="38">
        <v>0</v>
      </c>
      <c r="K53" s="88">
        <v>0</v>
      </c>
    </row>
    <row r="54" spans="1:15">
      <c r="A54" s="1874"/>
      <c r="B54" s="1881"/>
      <c r="C54" s="73">
        <v>2017</v>
      </c>
      <c r="D54" s="37"/>
      <c r="E54" s="38"/>
      <c r="F54" s="38"/>
      <c r="G54" s="38"/>
      <c r="H54" s="38"/>
      <c r="I54" s="38"/>
      <c r="J54" s="38">
        <v>3</v>
      </c>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3</v>
      </c>
      <c r="K58" s="48">
        <f>SUM(K50:K56)</f>
        <v>0</v>
      </c>
    </row>
    <row r="59" spans="1:15" ht="15.75" thickBot="1"/>
    <row r="60" spans="1:15" ht="21" customHeight="1">
      <c r="A60" s="2494" t="s">
        <v>44</v>
      </c>
      <c r="B60" s="1665"/>
      <c r="C60" s="2617" t="s">
        <v>9</v>
      </c>
      <c r="D60" s="2417" t="s">
        <v>45</v>
      </c>
      <c r="E60" s="96" t="s">
        <v>6</v>
      </c>
      <c r="F60" s="1666"/>
      <c r="G60" s="1666"/>
      <c r="H60" s="1666"/>
      <c r="I60" s="1666"/>
      <c r="J60" s="1666"/>
      <c r="K60" s="1666"/>
      <c r="L60" s="1667"/>
    </row>
    <row r="61" spans="1:15" ht="115.5" customHeight="1">
      <c r="A61" s="2616"/>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608" t="s">
        <v>464</v>
      </c>
      <c r="B62" s="2594"/>
      <c r="C62" s="1668">
        <v>2014</v>
      </c>
      <c r="D62" s="107"/>
      <c r="E62" s="108"/>
      <c r="F62" s="109"/>
      <c r="G62" s="109"/>
      <c r="H62" s="109"/>
      <c r="I62" s="109"/>
      <c r="J62" s="109"/>
      <c r="K62" s="109"/>
      <c r="L62" s="34"/>
      <c r="M62" s="7"/>
      <c r="N62" s="7"/>
      <c r="O62" s="7"/>
    </row>
    <row r="63" spans="1:15">
      <c r="A63" s="2593"/>
      <c r="B63" s="2594"/>
      <c r="C63" s="110">
        <v>2015</v>
      </c>
      <c r="D63" s="111"/>
      <c r="E63" s="112"/>
      <c r="F63" s="38"/>
      <c r="G63" s="38"/>
      <c r="H63" s="38"/>
      <c r="I63" s="38"/>
      <c r="J63" s="38"/>
      <c r="K63" s="38"/>
      <c r="L63" s="88"/>
      <c r="M63" s="7"/>
      <c r="N63" s="7"/>
      <c r="O63" s="7"/>
    </row>
    <row r="64" spans="1:15">
      <c r="A64" s="2593"/>
      <c r="B64" s="2594"/>
      <c r="C64" s="110">
        <v>2016</v>
      </c>
      <c r="D64" s="111">
        <v>43</v>
      </c>
      <c r="E64" s="112">
        <v>43</v>
      </c>
      <c r="F64" s="38"/>
      <c r="G64" s="38"/>
      <c r="H64" s="38"/>
      <c r="I64" s="38"/>
      <c r="J64" s="38"/>
      <c r="K64" s="38"/>
      <c r="L64" s="88"/>
      <c r="M64" s="7"/>
      <c r="N64" s="7"/>
      <c r="O64" s="7"/>
    </row>
    <row r="65" spans="1:20">
      <c r="A65" s="2593"/>
      <c r="B65" s="2594"/>
      <c r="C65" s="110">
        <v>2017</v>
      </c>
      <c r="D65" s="111">
        <v>48</v>
      </c>
      <c r="E65" s="112">
        <v>48</v>
      </c>
      <c r="F65" s="38"/>
      <c r="G65" s="38"/>
      <c r="H65" s="38"/>
      <c r="I65" s="38"/>
      <c r="J65" s="38"/>
      <c r="K65" s="38"/>
      <c r="L65" s="88"/>
      <c r="M65" s="7"/>
      <c r="N65" s="7"/>
      <c r="O65" s="7"/>
    </row>
    <row r="66" spans="1:20">
      <c r="A66" s="2593"/>
      <c r="B66" s="2594"/>
      <c r="C66" s="110">
        <v>2018</v>
      </c>
      <c r="D66" s="111"/>
      <c r="E66" s="112"/>
      <c r="F66" s="38"/>
      <c r="G66" s="38"/>
      <c r="H66" s="38"/>
      <c r="I66" s="38"/>
      <c r="J66" s="38"/>
      <c r="K66" s="38"/>
      <c r="L66" s="88"/>
      <c r="M66" s="7"/>
      <c r="N66" s="7"/>
      <c r="O66" s="7"/>
    </row>
    <row r="67" spans="1:20" ht="17.25" customHeight="1">
      <c r="A67" s="2593"/>
      <c r="B67" s="2594"/>
      <c r="C67" s="110">
        <v>2019</v>
      </c>
      <c r="D67" s="111"/>
      <c r="E67" s="112"/>
      <c r="F67" s="38"/>
      <c r="G67" s="38"/>
      <c r="H67" s="38"/>
      <c r="I67" s="38"/>
      <c r="J67" s="38"/>
      <c r="K67" s="38"/>
      <c r="L67" s="88"/>
      <c r="M67" s="7"/>
      <c r="N67" s="7"/>
      <c r="O67" s="7"/>
    </row>
    <row r="68" spans="1:20" ht="16.5" customHeight="1">
      <c r="A68" s="2593"/>
      <c r="B68" s="2594"/>
      <c r="C68" s="110">
        <v>2020</v>
      </c>
      <c r="D68" s="111"/>
      <c r="E68" s="112"/>
      <c r="F68" s="38"/>
      <c r="G68" s="38"/>
      <c r="H68" s="38"/>
      <c r="I68" s="38"/>
      <c r="J68" s="38"/>
      <c r="K68" s="38"/>
      <c r="L68" s="88"/>
      <c r="M68" s="78"/>
      <c r="N68" s="78"/>
      <c r="O68" s="78"/>
    </row>
    <row r="69" spans="1:20" ht="18" customHeight="1" thickBot="1">
      <c r="A69" s="2609"/>
      <c r="B69" s="2596"/>
      <c r="C69" s="113" t="s">
        <v>13</v>
      </c>
      <c r="D69" s="114">
        <f>SUM(D62:D68)</f>
        <v>91</v>
      </c>
      <c r="E69" s="115">
        <f>SUM(E62:E68)</f>
        <v>91</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662" t="s">
        <v>47</v>
      </c>
      <c r="B71" s="1663"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588" t="s">
        <v>465</v>
      </c>
      <c r="B72" s="2594"/>
      <c r="C72" s="72">
        <v>2014</v>
      </c>
      <c r="D72" s="131"/>
      <c r="E72" s="131"/>
      <c r="F72" s="131"/>
      <c r="G72" s="132">
        <f>SUM(D72:F72)</f>
        <v>0</v>
      </c>
      <c r="H72" s="30"/>
      <c r="I72" s="133"/>
      <c r="J72" s="109"/>
      <c r="K72" s="109"/>
      <c r="L72" s="109"/>
      <c r="M72" s="109"/>
      <c r="N72" s="109"/>
      <c r="O72" s="134"/>
    </row>
    <row r="73" spans="1:20">
      <c r="A73" s="2610"/>
      <c r="B73" s="2594"/>
      <c r="C73" s="73">
        <v>2015</v>
      </c>
      <c r="D73" s="135"/>
      <c r="E73" s="135"/>
      <c r="F73" s="135"/>
      <c r="G73" s="132">
        <f t="shared" ref="G73:G78" si="5">SUM(D73:F73)</f>
        <v>0</v>
      </c>
      <c r="H73" s="37"/>
      <c r="I73" s="37"/>
      <c r="J73" s="38"/>
      <c r="K73" s="38"/>
      <c r="L73" s="38"/>
      <c r="M73" s="38"/>
      <c r="N73" s="38"/>
      <c r="O73" s="88"/>
    </row>
    <row r="74" spans="1:20">
      <c r="A74" s="2610"/>
      <c r="B74" s="2594"/>
      <c r="C74" s="73">
        <v>2016</v>
      </c>
      <c r="D74" s="135">
        <v>0</v>
      </c>
      <c r="E74" s="135">
        <v>0</v>
      </c>
      <c r="F74" s="135">
        <v>0</v>
      </c>
      <c r="G74" s="132">
        <f t="shared" si="5"/>
        <v>0</v>
      </c>
      <c r="H74" s="37"/>
      <c r="I74" s="37"/>
      <c r="J74" s="38"/>
      <c r="K74" s="38"/>
      <c r="L74" s="38"/>
      <c r="M74" s="38"/>
      <c r="N74" s="38"/>
      <c r="O74" s="88"/>
    </row>
    <row r="75" spans="1:20">
      <c r="A75" s="2610"/>
      <c r="B75" s="2594"/>
      <c r="C75" s="73">
        <v>2017</v>
      </c>
      <c r="D75" s="135">
        <v>2</v>
      </c>
      <c r="E75" s="135"/>
      <c r="F75" s="135"/>
      <c r="G75" s="132">
        <f t="shared" si="5"/>
        <v>2</v>
      </c>
      <c r="H75" s="37">
        <v>2</v>
      </c>
      <c r="I75" s="37"/>
      <c r="J75" s="38"/>
      <c r="K75" s="38"/>
      <c r="L75" s="38"/>
      <c r="M75" s="38"/>
      <c r="N75" s="38"/>
      <c r="O75" s="88"/>
    </row>
    <row r="76" spans="1:20">
      <c r="A76" s="2610"/>
      <c r="B76" s="2594"/>
      <c r="C76" s="73">
        <v>2018</v>
      </c>
      <c r="D76" s="135"/>
      <c r="E76" s="135"/>
      <c r="F76" s="135"/>
      <c r="G76" s="132">
        <f t="shared" si="5"/>
        <v>0</v>
      </c>
      <c r="H76" s="37"/>
      <c r="I76" s="37"/>
      <c r="J76" s="38"/>
      <c r="K76" s="38"/>
      <c r="L76" s="38"/>
      <c r="M76" s="38"/>
      <c r="N76" s="38"/>
      <c r="O76" s="88"/>
    </row>
    <row r="77" spans="1:20" ht="15.75" customHeight="1">
      <c r="A77" s="2610"/>
      <c r="B77" s="2594"/>
      <c r="C77" s="73">
        <v>2019</v>
      </c>
      <c r="D77" s="135"/>
      <c r="E77" s="135"/>
      <c r="F77" s="135"/>
      <c r="G77" s="132">
        <f t="shared" si="5"/>
        <v>0</v>
      </c>
      <c r="H77" s="37"/>
      <c r="I77" s="37"/>
      <c r="J77" s="38"/>
      <c r="K77" s="38"/>
      <c r="L77" s="38"/>
      <c r="M77" s="38"/>
      <c r="N77" s="38"/>
      <c r="O77" s="88"/>
    </row>
    <row r="78" spans="1:20" ht="17.25" customHeight="1">
      <c r="A78" s="2610"/>
      <c r="B78" s="2594"/>
      <c r="C78" s="73">
        <v>2020</v>
      </c>
      <c r="D78" s="135"/>
      <c r="E78" s="135"/>
      <c r="F78" s="135"/>
      <c r="G78" s="132">
        <f t="shared" si="5"/>
        <v>0</v>
      </c>
      <c r="H78" s="37"/>
      <c r="I78" s="37"/>
      <c r="J78" s="38"/>
      <c r="K78" s="38"/>
      <c r="L78" s="38"/>
      <c r="M78" s="38"/>
      <c r="N78" s="38"/>
      <c r="O78" s="88"/>
    </row>
    <row r="79" spans="1:20" ht="20.25" customHeight="1" thickBot="1">
      <c r="A79" s="2609"/>
      <c r="B79" s="2596"/>
      <c r="C79" s="136" t="s">
        <v>13</v>
      </c>
      <c r="D79" s="114">
        <f>SUM(D72:D78)</f>
        <v>2</v>
      </c>
      <c r="E79" s="114">
        <f>SUM(E72:E78)</f>
        <v>0</v>
      </c>
      <c r="F79" s="114">
        <f>SUM(F72:F78)</f>
        <v>0</v>
      </c>
      <c r="G79" s="137">
        <f>SUM(G72:G78)</f>
        <v>2</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669" t="s">
        <v>56</v>
      </c>
      <c r="B84" s="1670"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97" t="s">
        <v>68</v>
      </c>
      <c r="B96" s="2605" t="s">
        <v>179</v>
      </c>
      <c r="C96" s="2607" t="s">
        <v>9</v>
      </c>
      <c r="D96" s="1916" t="s">
        <v>70</v>
      </c>
      <c r="E96" s="1917"/>
      <c r="F96" s="162" t="s">
        <v>71</v>
      </c>
      <c r="G96" s="1671"/>
      <c r="H96" s="1671"/>
      <c r="I96" s="1671"/>
      <c r="J96" s="1671"/>
      <c r="K96" s="1671"/>
      <c r="L96" s="1671"/>
      <c r="M96" s="1672"/>
      <c r="N96" s="165"/>
      <c r="O96" s="165"/>
      <c r="P96" s="165"/>
    </row>
    <row r="97" spans="1:16" ht="100.5" customHeight="1">
      <c r="A97" s="2604"/>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97" t="s">
        <v>77</v>
      </c>
      <c r="B107" s="2605" t="s">
        <v>179</v>
      </c>
      <c r="C107" s="2607" t="s">
        <v>9</v>
      </c>
      <c r="D107" s="2414" t="s">
        <v>78</v>
      </c>
      <c r="E107" s="162" t="s">
        <v>79</v>
      </c>
      <c r="F107" s="1671"/>
      <c r="G107" s="1671"/>
      <c r="H107" s="1671"/>
      <c r="I107" s="1671"/>
      <c r="J107" s="1671"/>
      <c r="K107" s="1671"/>
      <c r="L107" s="1672"/>
      <c r="M107" s="185"/>
      <c r="N107" s="185"/>
    </row>
    <row r="108" spans="1:16" ht="103.5" customHeight="1">
      <c r="A108" s="2604"/>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97" t="s">
        <v>81</v>
      </c>
      <c r="B118" s="2605" t="s">
        <v>179</v>
      </c>
      <c r="C118" s="2607" t="s">
        <v>9</v>
      </c>
      <c r="D118" s="2414" t="s">
        <v>82</v>
      </c>
      <c r="E118" s="162" t="s">
        <v>79</v>
      </c>
      <c r="F118" s="1671"/>
      <c r="G118" s="1671"/>
      <c r="H118" s="1671"/>
      <c r="I118" s="1671"/>
      <c r="J118" s="1671"/>
      <c r="K118" s="1671"/>
      <c r="L118" s="1672"/>
      <c r="M118" s="185"/>
      <c r="N118" s="185"/>
    </row>
    <row r="119" spans="1:14" ht="120.75" customHeight="1">
      <c r="A119" s="2604"/>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97" t="s">
        <v>84</v>
      </c>
      <c r="B129" s="2605" t="s">
        <v>179</v>
      </c>
      <c r="C129" s="1673" t="s">
        <v>9</v>
      </c>
      <c r="D129" s="189" t="s">
        <v>85</v>
      </c>
      <c r="E129" s="1674"/>
      <c r="F129" s="1674"/>
      <c r="G129" s="191"/>
      <c r="H129" s="185"/>
      <c r="I129" s="185"/>
      <c r="J129" s="185"/>
      <c r="K129" s="185"/>
      <c r="L129" s="185"/>
      <c r="M129" s="185"/>
      <c r="N129" s="185"/>
    </row>
    <row r="130" spans="1:16" ht="77.25" customHeight="1">
      <c r="A130" s="2604"/>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500" t="s">
        <v>91</v>
      </c>
      <c r="B142" s="2601" t="s">
        <v>179</v>
      </c>
      <c r="C142" s="2603" t="s">
        <v>9</v>
      </c>
      <c r="D142" s="1675" t="s">
        <v>92</v>
      </c>
      <c r="E142" s="1676"/>
      <c r="F142" s="1676"/>
      <c r="G142" s="1676"/>
      <c r="H142" s="1676"/>
      <c r="I142" s="1677"/>
      <c r="J142" s="2597" t="s">
        <v>93</v>
      </c>
      <c r="K142" s="2598"/>
      <c r="L142" s="2598"/>
      <c r="M142" s="2598"/>
      <c r="N142" s="2599"/>
      <c r="O142" s="165"/>
      <c r="P142" s="165"/>
    </row>
    <row r="143" spans="1:16" ht="113.25" customHeight="1">
      <c r="A143" s="2606"/>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600" t="s">
        <v>105</v>
      </c>
      <c r="B153" s="2601" t="s">
        <v>179</v>
      </c>
      <c r="C153" s="2602" t="s">
        <v>9</v>
      </c>
      <c r="D153" s="1678" t="s">
        <v>106</v>
      </c>
      <c r="E153" s="1678"/>
      <c r="F153" s="1679"/>
      <c r="G153" s="1679"/>
      <c r="H153" s="1678" t="s">
        <v>107</v>
      </c>
      <c r="I153" s="1678"/>
      <c r="J153" s="1680"/>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681"/>
      <c r="F163" s="165"/>
      <c r="G163" s="165"/>
      <c r="H163" s="165"/>
      <c r="I163" s="165"/>
      <c r="J163" s="241"/>
      <c r="K163" s="242"/>
    </row>
    <row r="164" spans="1:18" ht="95.25" customHeight="1">
      <c r="A164" s="243" t="s">
        <v>115</v>
      </c>
      <c r="B164" s="405" t="s">
        <v>181</v>
      </c>
      <c r="C164" s="1567" t="s">
        <v>9</v>
      </c>
      <c r="D164" s="246" t="s">
        <v>117</v>
      </c>
      <c r="E164" s="246" t="s">
        <v>118</v>
      </c>
      <c r="F164" s="1682"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1683">
        <f>SUM(D165,F165,H165)</f>
        <v>0</v>
      </c>
      <c r="K165" s="253">
        <f>SUM(E165,G165,I165)</f>
        <v>0</v>
      </c>
      <c r="L165" s="1531"/>
    </row>
    <row r="166" spans="1:18">
      <c r="A166" s="1880"/>
      <c r="B166" s="1881"/>
      <c r="C166" s="254">
        <v>2015</v>
      </c>
      <c r="D166" s="255"/>
      <c r="E166" s="255"/>
      <c r="F166" s="255"/>
      <c r="G166" s="255"/>
      <c r="H166" s="255"/>
      <c r="I166" s="256"/>
      <c r="J166" s="1684">
        <f t="shared" ref="J166:K171" si="17">SUM(D166,F166,H166)</f>
        <v>0</v>
      </c>
      <c r="K166" s="408">
        <f t="shared" si="17"/>
        <v>0</v>
      </c>
      <c r="L166" s="1531"/>
    </row>
    <row r="167" spans="1:18">
      <c r="A167" s="1880"/>
      <c r="B167" s="1881"/>
      <c r="C167" s="254">
        <v>2016</v>
      </c>
      <c r="D167" s="255"/>
      <c r="E167" s="255"/>
      <c r="F167" s="255"/>
      <c r="G167" s="255"/>
      <c r="H167" s="255"/>
      <c r="I167" s="256"/>
      <c r="J167" s="1684">
        <f t="shared" si="17"/>
        <v>0</v>
      </c>
      <c r="K167" s="408">
        <f t="shared" si="17"/>
        <v>0</v>
      </c>
    </row>
    <row r="168" spans="1:18">
      <c r="A168" s="1880"/>
      <c r="B168" s="1881"/>
      <c r="C168" s="254">
        <v>2017</v>
      </c>
      <c r="D168" s="255"/>
      <c r="E168" s="165"/>
      <c r="F168" s="255"/>
      <c r="G168" s="255"/>
      <c r="H168" s="255"/>
      <c r="I168" s="256"/>
      <c r="J168" s="1684">
        <f t="shared" si="17"/>
        <v>0</v>
      </c>
      <c r="K168" s="408">
        <f t="shared" si="17"/>
        <v>0</v>
      </c>
    </row>
    <row r="169" spans="1:18">
      <c r="A169" s="1880"/>
      <c r="B169" s="1881"/>
      <c r="C169" s="262">
        <v>2018</v>
      </c>
      <c r="D169" s="255"/>
      <c r="E169" s="255"/>
      <c r="F169" s="255"/>
      <c r="G169" s="263"/>
      <c r="H169" s="255"/>
      <c r="I169" s="256"/>
      <c r="J169" s="1684">
        <f t="shared" si="17"/>
        <v>0</v>
      </c>
      <c r="K169" s="408">
        <f t="shared" si="17"/>
        <v>0</v>
      </c>
      <c r="L169" s="1531"/>
    </row>
    <row r="170" spans="1:18">
      <c r="A170" s="1880"/>
      <c r="B170" s="1881"/>
      <c r="C170" s="254">
        <v>2019</v>
      </c>
      <c r="D170" s="165"/>
      <c r="E170" s="255"/>
      <c r="F170" s="255"/>
      <c r="G170" s="255"/>
      <c r="H170" s="263"/>
      <c r="I170" s="256"/>
      <c r="J170" s="1684">
        <f t="shared" si="17"/>
        <v>0</v>
      </c>
      <c r="K170" s="408">
        <f t="shared" si="17"/>
        <v>0</v>
      </c>
      <c r="L170" s="1531"/>
    </row>
    <row r="171" spans="1:18">
      <c r="A171" s="1880"/>
      <c r="B171" s="1881"/>
      <c r="C171" s="262">
        <v>2020</v>
      </c>
      <c r="D171" s="255"/>
      <c r="E171" s="255"/>
      <c r="F171" s="255"/>
      <c r="G171" s="255"/>
      <c r="H171" s="255"/>
      <c r="I171" s="256"/>
      <c r="J171" s="1684">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503" t="s">
        <v>127</v>
      </c>
      <c r="B176" s="2585" t="s">
        <v>182</v>
      </c>
      <c r="C176" s="2590" t="s">
        <v>9</v>
      </c>
      <c r="D176" s="273" t="s">
        <v>128</v>
      </c>
      <c r="E176" s="1685"/>
      <c r="F176" s="1685"/>
      <c r="G176" s="1686"/>
      <c r="H176" s="276"/>
      <c r="I176" s="1888" t="s">
        <v>129</v>
      </c>
      <c r="J176" s="2591"/>
      <c r="K176" s="2591"/>
      <c r="L176" s="2591"/>
      <c r="M176" s="2591"/>
      <c r="N176" s="2591"/>
      <c r="O176" s="2592"/>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593" t="s">
        <v>466</v>
      </c>
      <c r="B178" s="2594"/>
      <c r="C178" s="106">
        <v>2014</v>
      </c>
      <c r="D178" s="30"/>
      <c r="E178" s="31"/>
      <c r="F178" s="31"/>
      <c r="G178" s="284">
        <f>SUM(D178:F178)</f>
        <v>0</v>
      </c>
      <c r="H178" s="155"/>
      <c r="I178" s="155"/>
      <c r="J178" s="31"/>
      <c r="K178" s="31"/>
      <c r="L178" s="31"/>
      <c r="M178" s="31"/>
      <c r="N178" s="31"/>
      <c r="O178" s="34"/>
    </row>
    <row r="179" spans="1:15">
      <c r="A179" s="2593"/>
      <c r="B179" s="2594"/>
      <c r="C179" s="110">
        <v>2015</v>
      </c>
      <c r="D179" s="37">
        <v>17</v>
      </c>
      <c r="E179" s="38"/>
      <c r="F179" s="38"/>
      <c r="G179" s="284">
        <f t="shared" ref="G179:G184" si="19">SUM(D179:F179)</f>
        <v>17</v>
      </c>
      <c r="H179" s="411">
        <v>17</v>
      </c>
      <c r="I179" s="112">
        <v>14</v>
      </c>
      <c r="J179" s="38">
        <v>3</v>
      </c>
      <c r="K179" s="38"/>
      <c r="L179" s="38"/>
      <c r="M179" s="38"/>
      <c r="N179" s="38"/>
      <c r="O179" s="88"/>
    </row>
    <row r="180" spans="1:15">
      <c r="A180" s="2593"/>
      <c r="B180" s="2594"/>
      <c r="C180" s="110">
        <v>2016</v>
      </c>
      <c r="D180" s="37">
        <v>57</v>
      </c>
      <c r="E180" s="38">
        <v>1</v>
      </c>
      <c r="F180" s="38"/>
      <c r="G180" s="284">
        <f t="shared" si="19"/>
        <v>58</v>
      </c>
      <c r="H180" s="411">
        <v>44</v>
      </c>
      <c r="I180" s="112">
        <v>56</v>
      </c>
      <c r="J180" s="38">
        <v>2</v>
      </c>
      <c r="K180" s="38"/>
      <c r="L180" s="38"/>
      <c r="M180" s="38"/>
      <c r="N180" s="38"/>
      <c r="O180" s="88"/>
    </row>
    <row r="181" spans="1:15">
      <c r="A181" s="2593"/>
      <c r="B181" s="2594"/>
      <c r="C181" s="110">
        <v>2017</v>
      </c>
      <c r="D181" s="37">
        <v>53</v>
      </c>
      <c r="E181" s="38">
        <v>5</v>
      </c>
      <c r="F181" s="38"/>
      <c r="G181" s="284">
        <f t="shared" si="19"/>
        <v>58</v>
      </c>
      <c r="H181" s="411">
        <v>61</v>
      </c>
      <c r="I181" s="112">
        <v>24</v>
      </c>
      <c r="J181" s="38">
        <v>34</v>
      </c>
      <c r="K181" s="38"/>
      <c r="L181" s="38"/>
      <c r="M181" s="38"/>
      <c r="N181" s="38"/>
      <c r="O181" s="88"/>
    </row>
    <row r="182" spans="1:15">
      <c r="A182" s="2593"/>
      <c r="B182" s="2594"/>
      <c r="C182" s="110">
        <v>2018</v>
      </c>
      <c r="D182" s="37"/>
      <c r="E182" s="38"/>
      <c r="F182" s="38"/>
      <c r="G182" s="284">
        <f t="shared" si="19"/>
        <v>0</v>
      </c>
      <c r="H182" s="411"/>
      <c r="I182" s="112"/>
      <c r="J182" s="38"/>
      <c r="K182" s="38"/>
      <c r="L182" s="38"/>
      <c r="M182" s="38"/>
      <c r="N182" s="38"/>
      <c r="O182" s="88"/>
    </row>
    <row r="183" spans="1:15">
      <c r="A183" s="2593"/>
      <c r="B183" s="2594"/>
      <c r="C183" s="110">
        <v>2019</v>
      </c>
      <c r="D183" s="37"/>
      <c r="E183" s="38"/>
      <c r="F183" s="38"/>
      <c r="G183" s="284">
        <f t="shared" si="19"/>
        <v>0</v>
      </c>
      <c r="H183" s="411"/>
      <c r="I183" s="112"/>
      <c r="J183" s="38"/>
      <c r="K183" s="38"/>
      <c r="L183" s="38"/>
      <c r="M183" s="38"/>
      <c r="N183" s="38"/>
      <c r="O183" s="88"/>
    </row>
    <row r="184" spans="1:15">
      <c r="A184" s="2593"/>
      <c r="B184" s="2594"/>
      <c r="C184" s="110">
        <v>2020</v>
      </c>
      <c r="D184" s="37"/>
      <c r="E184" s="38"/>
      <c r="F184" s="38"/>
      <c r="G184" s="284">
        <f t="shared" si="19"/>
        <v>0</v>
      </c>
      <c r="H184" s="411"/>
      <c r="I184" s="112"/>
      <c r="J184" s="38"/>
      <c r="K184" s="38"/>
      <c r="L184" s="38"/>
      <c r="M184" s="38"/>
      <c r="N184" s="38"/>
      <c r="O184" s="88"/>
    </row>
    <row r="185" spans="1:15" ht="69" customHeight="1" thickBot="1">
      <c r="A185" s="2595"/>
      <c r="B185" s="2596"/>
      <c r="C185" s="113" t="s">
        <v>13</v>
      </c>
      <c r="D185" s="139">
        <f>SUM(D178:D184)</f>
        <v>127</v>
      </c>
      <c r="E185" s="116">
        <f>SUM(E178:E184)</f>
        <v>6</v>
      </c>
      <c r="F185" s="116">
        <f>SUM(F178:F184)</f>
        <v>0</v>
      </c>
      <c r="G185" s="220">
        <f t="shared" ref="G185:O185" si="20">SUM(G178:G184)</f>
        <v>133</v>
      </c>
      <c r="H185" s="285">
        <f t="shared" si="20"/>
        <v>122</v>
      </c>
      <c r="I185" s="115">
        <f t="shared" si="20"/>
        <v>94</v>
      </c>
      <c r="J185" s="116">
        <f t="shared" si="20"/>
        <v>39</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585" t="s">
        <v>182</v>
      </c>
      <c r="C187" s="1865" t="s">
        <v>9</v>
      </c>
      <c r="D187" s="1867" t="s">
        <v>138</v>
      </c>
      <c r="E187" s="2586"/>
      <c r="F187" s="2586"/>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587" t="s">
        <v>467</v>
      </c>
      <c r="B189" s="1977" t="s">
        <v>468</v>
      </c>
      <c r="C189" s="290">
        <v>2014</v>
      </c>
      <c r="D189" s="133"/>
      <c r="E189" s="109"/>
      <c r="F189" s="109"/>
      <c r="G189" s="291">
        <f>SUM(D189:F189)</f>
        <v>0</v>
      </c>
      <c r="H189" s="108"/>
      <c r="I189" s="109"/>
      <c r="J189" s="109"/>
      <c r="K189" s="109"/>
      <c r="L189" s="134"/>
    </row>
    <row r="190" spans="1:15">
      <c r="A190" s="2588"/>
      <c r="B190" s="1855"/>
      <c r="C190" s="73">
        <v>2015</v>
      </c>
      <c r="D190" s="37">
        <v>239</v>
      </c>
      <c r="E190" s="38"/>
      <c r="F190" s="38"/>
      <c r="G190" s="291">
        <f t="shared" ref="G190:G195" si="21">SUM(D190:F190)</f>
        <v>239</v>
      </c>
      <c r="H190" s="112"/>
      <c r="I190" s="38"/>
      <c r="J190" s="38"/>
      <c r="K190" s="38">
        <v>20</v>
      </c>
      <c r="L190" s="88">
        <v>219</v>
      </c>
    </row>
    <row r="191" spans="1:15">
      <c r="A191" s="2588"/>
      <c r="B191" s="1855"/>
      <c r="C191" s="73">
        <v>2016</v>
      </c>
      <c r="D191" s="37">
        <v>744</v>
      </c>
      <c r="E191" s="38"/>
      <c r="F191" s="38"/>
      <c r="G191" s="291">
        <f t="shared" si="21"/>
        <v>744</v>
      </c>
      <c r="H191" s="112"/>
      <c r="I191" s="38">
        <v>22</v>
      </c>
      <c r="J191" s="38">
        <v>168</v>
      </c>
      <c r="K191" s="38"/>
      <c r="L191" s="88">
        <v>554</v>
      </c>
    </row>
    <row r="192" spans="1:15">
      <c r="A192" s="2588"/>
      <c r="B192" s="1855"/>
      <c r="C192" s="73">
        <v>2017</v>
      </c>
      <c r="D192" s="37">
        <v>846</v>
      </c>
      <c r="E192" s="38"/>
      <c r="F192" s="38"/>
      <c r="G192" s="291">
        <f t="shared" si="21"/>
        <v>846</v>
      </c>
      <c r="H192" s="112"/>
      <c r="I192" s="38">
        <v>6</v>
      </c>
      <c r="J192" s="38">
        <v>52</v>
      </c>
      <c r="K192" s="38"/>
      <c r="L192" s="88">
        <v>788</v>
      </c>
    </row>
    <row r="193" spans="1:14">
      <c r="A193" s="2588"/>
      <c r="B193" s="1855"/>
      <c r="C193" s="73">
        <v>2018</v>
      </c>
      <c r="D193" s="37"/>
      <c r="E193" s="38"/>
      <c r="F193" s="38"/>
      <c r="G193" s="291">
        <f t="shared" si="21"/>
        <v>0</v>
      </c>
      <c r="H193" s="112"/>
      <c r="I193" s="38"/>
      <c r="J193" s="38"/>
      <c r="K193" s="38"/>
      <c r="L193" s="88"/>
    </row>
    <row r="194" spans="1:14">
      <c r="A194" s="2588"/>
      <c r="B194" s="1855"/>
      <c r="C194" s="73">
        <v>2019</v>
      </c>
      <c r="D194" s="37"/>
      <c r="E194" s="38"/>
      <c r="F194" s="38"/>
      <c r="G194" s="291">
        <f t="shared" si="21"/>
        <v>0</v>
      </c>
      <c r="H194" s="112"/>
      <c r="I194" s="38"/>
      <c r="J194" s="38"/>
      <c r="K194" s="38"/>
      <c r="L194" s="88"/>
    </row>
    <row r="195" spans="1:14">
      <c r="A195" s="2588"/>
      <c r="B195" s="1855"/>
      <c r="C195" s="73">
        <v>2020</v>
      </c>
      <c r="D195" s="37"/>
      <c r="E195" s="38"/>
      <c r="F195" s="38"/>
      <c r="G195" s="291">
        <f t="shared" si="21"/>
        <v>0</v>
      </c>
      <c r="H195" s="112"/>
      <c r="I195" s="38"/>
      <c r="J195" s="38"/>
      <c r="K195" s="38"/>
      <c r="L195" s="88"/>
    </row>
    <row r="196" spans="1:14" ht="74.25" customHeight="1" thickBot="1">
      <c r="A196" s="2589"/>
      <c r="B196" s="1857"/>
      <c r="C196" s="136" t="s">
        <v>13</v>
      </c>
      <c r="D196" s="139">
        <f t="shared" ref="D196:L196" si="22">SUM(D189:D195)</f>
        <v>1829</v>
      </c>
      <c r="E196" s="116">
        <f t="shared" si="22"/>
        <v>0</v>
      </c>
      <c r="F196" s="116">
        <f t="shared" si="22"/>
        <v>0</v>
      </c>
      <c r="G196" s="292">
        <f t="shared" si="22"/>
        <v>1829</v>
      </c>
      <c r="H196" s="115">
        <f t="shared" si="22"/>
        <v>0</v>
      </c>
      <c r="I196" s="116">
        <f t="shared" si="22"/>
        <v>28</v>
      </c>
      <c r="J196" s="116">
        <f t="shared" si="22"/>
        <v>220</v>
      </c>
      <c r="K196" s="116">
        <f t="shared" si="22"/>
        <v>20</v>
      </c>
      <c r="L196" s="117">
        <f t="shared" si="22"/>
        <v>1561</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687" t="s">
        <v>150</v>
      </c>
      <c r="B201" s="417" t="s">
        <v>182</v>
      </c>
      <c r="C201" s="298" t="s">
        <v>9</v>
      </c>
      <c r="D201" s="299" t="s">
        <v>151</v>
      </c>
      <c r="E201" s="300" t="s">
        <v>152</v>
      </c>
      <c r="F201" s="300" t="s">
        <v>153</v>
      </c>
      <c r="G201" s="298" t="s">
        <v>154</v>
      </c>
      <c r="H201" s="1688"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689" t="s">
        <v>161</v>
      </c>
      <c r="B212" s="322" t="s">
        <v>162</v>
      </c>
      <c r="C212" s="323">
        <v>2014</v>
      </c>
      <c r="D212" s="324">
        <v>2015</v>
      </c>
      <c r="E212" s="324">
        <v>2016</v>
      </c>
      <c r="F212" s="324">
        <v>2017</v>
      </c>
      <c r="G212" s="324">
        <v>2018</v>
      </c>
      <c r="H212" s="324">
        <v>2019</v>
      </c>
      <c r="I212" s="325">
        <v>2020</v>
      </c>
    </row>
    <row r="213" spans="1:12" ht="15" customHeight="1">
      <c r="A213" t="s">
        <v>163</v>
      </c>
      <c r="B213" s="1973" t="s">
        <v>469</v>
      </c>
      <c r="C213" s="72"/>
      <c r="D213" s="1690">
        <f>SUM(D214:D217)</f>
        <v>10298.51</v>
      </c>
      <c r="E213" s="1690">
        <f>SUM(E214:E217)</f>
        <v>97421.239999999991</v>
      </c>
      <c r="F213" s="1690">
        <f>SUM(F214:F217)</f>
        <v>192203.14</v>
      </c>
      <c r="G213" s="135"/>
      <c r="H213" s="135"/>
      <c r="I213" s="326"/>
    </row>
    <row r="214" spans="1:12">
      <c r="A214" t="s">
        <v>164</v>
      </c>
      <c r="B214" s="1974"/>
      <c r="C214" s="72"/>
      <c r="D214" s="135"/>
      <c r="E214" s="135">
        <v>50628.03</v>
      </c>
      <c r="F214" s="135"/>
      <c r="G214" s="135"/>
      <c r="H214" s="135"/>
      <c r="I214" s="326"/>
    </row>
    <row r="215" spans="1:12">
      <c r="A215" t="s">
        <v>165</v>
      </c>
      <c r="B215" s="1974"/>
      <c r="C215" s="72"/>
      <c r="D215" s="135"/>
      <c r="E215" s="135">
        <v>0</v>
      </c>
      <c r="F215" s="135"/>
      <c r="G215" s="135"/>
      <c r="H215" s="135"/>
      <c r="I215" s="326"/>
    </row>
    <row r="216" spans="1:12">
      <c r="A216" t="s">
        <v>166</v>
      </c>
      <c r="B216" s="1974"/>
      <c r="C216" s="72"/>
      <c r="D216" s="135"/>
      <c r="E216" s="135">
        <v>0</v>
      </c>
      <c r="F216" s="135"/>
      <c r="G216" s="135"/>
      <c r="H216" s="135"/>
      <c r="I216" s="326"/>
    </row>
    <row r="217" spans="1:12">
      <c r="A217" t="s">
        <v>167</v>
      </c>
      <c r="B217" s="1974"/>
      <c r="C217" s="72"/>
      <c r="D217" s="135">
        <v>10298.51</v>
      </c>
      <c r="E217" s="135">
        <v>46793.21</v>
      </c>
      <c r="F217" s="135">
        <v>192203.14</v>
      </c>
      <c r="G217" s="135"/>
      <c r="H217" s="135"/>
      <c r="I217" s="326"/>
    </row>
    <row r="218" spans="1:12" ht="30">
      <c r="A218" s="56" t="s">
        <v>168</v>
      </c>
      <c r="B218" s="1974"/>
      <c r="C218" s="72"/>
      <c r="D218" s="135">
        <v>92987.95</v>
      </c>
      <c r="E218" s="135">
        <v>145053.96</v>
      </c>
      <c r="F218" s="135">
        <v>155419.72</v>
      </c>
      <c r="G218" s="135"/>
      <c r="H218" s="135"/>
      <c r="I218" s="326"/>
    </row>
    <row r="219" spans="1:12" ht="15.75" thickBot="1">
      <c r="A219" s="1532"/>
      <c r="B219" s="1975"/>
      <c r="C219" s="42" t="s">
        <v>13</v>
      </c>
      <c r="D219" s="333">
        <f>SUM(D214:D218)</f>
        <v>103286.45999999999</v>
      </c>
      <c r="E219" s="333">
        <f>SUM(E214:E218)</f>
        <v>242475.19999999998</v>
      </c>
      <c r="F219" s="333">
        <f t="shared" ref="F219:I219" si="24">SUM(F214:F218)</f>
        <v>347622.86</v>
      </c>
      <c r="G219" s="333">
        <f t="shared" si="24"/>
        <v>0</v>
      </c>
      <c r="H219" s="333">
        <f t="shared" si="24"/>
        <v>0</v>
      </c>
      <c r="I219" s="333">
        <f t="shared" si="24"/>
        <v>0</v>
      </c>
    </row>
    <row r="227" spans="1:1">
      <c r="A227" s="56"/>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A196"/>
    <mergeCell ref="B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13"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529" t="s">
        <v>470</v>
      </c>
      <c r="C1" s="1530"/>
      <c r="D1" s="1530"/>
      <c r="E1" s="1530"/>
      <c r="F1" s="1530"/>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659"/>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v>
      </c>
      <c r="E18" s="38"/>
      <c r="F18" s="38"/>
      <c r="G18" s="32">
        <f>SUM(D18:F18)</f>
        <v>1</v>
      </c>
      <c r="H18" s="39"/>
      <c r="I18" s="38">
        <v>1</v>
      </c>
      <c r="J18" s="38"/>
      <c r="K18" s="38"/>
      <c r="L18" s="38"/>
      <c r="M18" s="38"/>
      <c r="N18" s="38"/>
      <c r="O18" s="40"/>
      <c r="P18" s="35"/>
      <c r="Q18" s="35"/>
      <c r="R18" s="35"/>
      <c r="S18" s="35"/>
      <c r="T18" s="35"/>
      <c r="U18" s="35"/>
      <c r="V18" s="35"/>
      <c r="W18" s="35"/>
      <c r="X18" s="35"/>
      <c r="Y18" s="35"/>
    </row>
    <row r="19" spans="1:25">
      <c r="A19" s="1854"/>
      <c r="B19" s="1855"/>
      <c r="C19" s="36">
        <v>2016</v>
      </c>
      <c r="D19" s="37">
        <v>21</v>
      </c>
      <c r="E19" s="38"/>
      <c r="F19" s="38"/>
      <c r="G19" s="32">
        <f t="shared" si="0"/>
        <v>21</v>
      </c>
      <c r="H19" s="39">
        <v>20</v>
      </c>
      <c r="I19" s="38">
        <v>1</v>
      </c>
      <c r="J19" s="38"/>
      <c r="K19" s="38"/>
      <c r="L19" s="38"/>
      <c r="M19" s="38"/>
      <c r="N19" s="38"/>
      <c r="O19" s="40"/>
      <c r="P19" s="35"/>
      <c r="Q19" s="35"/>
      <c r="R19" s="35"/>
      <c r="S19" s="35"/>
      <c r="T19" s="35"/>
      <c r="U19" s="35"/>
      <c r="V19" s="35"/>
      <c r="W19" s="35"/>
      <c r="X19" s="35"/>
      <c r="Y19" s="35"/>
    </row>
    <row r="20" spans="1:25">
      <c r="A20" s="1854"/>
      <c r="B20" s="1855"/>
      <c r="C20" s="36">
        <v>2017</v>
      </c>
      <c r="D20" s="37">
        <v>5</v>
      </c>
      <c r="E20" s="38"/>
      <c r="F20" s="38"/>
      <c r="G20" s="32">
        <f t="shared" si="0"/>
        <v>5</v>
      </c>
      <c r="H20" s="39">
        <v>5</v>
      </c>
      <c r="I20" s="38"/>
      <c r="J20" s="38"/>
      <c r="K20" s="38"/>
      <c r="L20" s="38"/>
      <c r="M20" s="38"/>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27</v>
      </c>
      <c r="E24" s="44">
        <f>SUM(E17:E23)</f>
        <v>0</v>
      </c>
      <c r="F24" s="44">
        <f>SUM(F17:F23)</f>
        <v>0</v>
      </c>
      <c r="G24" s="45">
        <f>SUM(D24:F24)</f>
        <v>27</v>
      </c>
      <c r="H24" s="46">
        <f>SUM(H17:H23)</f>
        <v>25</v>
      </c>
      <c r="I24" s="47">
        <f>SUM(I17:I23)</f>
        <v>2</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659"/>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28</v>
      </c>
      <c r="E29" s="38"/>
      <c r="F29" s="38"/>
      <c r="G29" s="58">
        <f t="shared" ref="G29:G35" si="2">SUM(D29:F29)</f>
        <v>28</v>
      </c>
      <c r="H29" s="35"/>
      <c r="I29" s="35"/>
      <c r="J29" s="35"/>
      <c r="K29" s="35"/>
      <c r="L29" s="35"/>
      <c r="M29" s="35"/>
      <c r="N29" s="35"/>
      <c r="O29" s="35"/>
      <c r="P29" s="35"/>
      <c r="Q29" s="7"/>
    </row>
    <row r="30" spans="1:25">
      <c r="A30" s="1854"/>
      <c r="B30" s="1855"/>
      <c r="C30" s="59">
        <v>2016</v>
      </c>
      <c r="D30" s="39">
        <v>324</v>
      </c>
      <c r="E30" s="38"/>
      <c r="F30" s="38"/>
      <c r="G30" s="58">
        <f t="shared" si="2"/>
        <v>324</v>
      </c>
      <c r="H30" s="35"/>
      <c r="I30" s="35"/>
      <c r="J30" s="35"/>
      <c r="K30" s="35"/>
      <c r="L30" s="35"/>
      <c r="M30" s="35"/>
      <c r="N30" s="35"/>
      <c r="O30" s="35"/>
      <c r="P30" s="35"/>
      <c r="Q30" s="7"/>
    </row>
    <row r="31" spans="1:25">
      <c r="A31" s="1854"/>
      <c r="B31" s="1855"/>
      <c r="C31" s="59">
        <v>2017</v>
      </c>
      <c r="D31" s="39">
        <v>286</v>
      </c>
      <c r="E31" s="38"/>
      <c r="F31" s="38"/>
      <c r="G31" s="58">
        <f t="shared" si="2"/>
        <v>286</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638</v>
      </c>
      <c r="E35" s="44">
        <f>SUM(E28:E34)</f>
        <v>0</v>
      </c>
      <c r="F35" s="44">
        <f>SUM(F28:F34)</f>
        <v>0</v>
      </c>
      <c r="G35" s="48">
        <f t="shared" si="2"/>
        <v>638</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662" t="s">
        <v>26</v>
      </c>
      <c r="B39" s="536" t="s">
        <v>171</v>
      </c>
      <c r="C39" s="68" t="s">
        <v>9</v>
      </c>
      <c r="D39" s="69" t="s">
        <v>28</v>
      </c>
      <c r="E39" s="70" t="s">
        <v>29</v>
      </c>
      <c r="F39" s="71"/>
      <c r="G39" s="28"/>
      <c r="H39" s="28"/>
    </row>
    <row r="40" spans="1:17">
      <c r="A40" s="1874" t="s">
        <v>471</v>
      </c>
      <c r="B40" s="1855"/>
      <c r="C40" s="72">
        <v>2014</v>
      </c>
      <c r="D40" s="30"/>
      <c r="E40" s="29"/>
      <c r="F40" s="7"/>
      <c r="G40" s="35"/>
      <c r="H40" s="35"/>
    </row>
    <row r="41" spans="1:17">
      <c r="A41" s="1854"/>
      <c r="B41" s="1855"/>
      <c r="C41" s="73">
        <v>2015</v>
      </c>
      <c r="D41" s="37"/>
      <c r="E41" s="36"/>
      <c r="F41" s="7"/>
      <c r="G41" s="35"/>
      <c r="H41" s="35"/>
    </row>
    <row r="42" spans="1:17">
      <c r="A42" s="1854"/>
      <c r="B42" s="1855"/>
      <c r="C42" s="73">
        <v>2016</v>
      </c>
      <c r="D42" s="37"/>
      <c r="E42" s="36"/>
      <c r="F42" s="7"/>
      <c r="G42" s="35"/>
      <c r="H42" s="35"/>
    </row>
    <row r="43" spans="1:17">
      <c r="A43" s="1854"/>
      <c r="B43" s="1855"/>
      <c r="C43" s="73">
        <v>2017</v>
      </c>
      <c r="D43" s="37"/>
      <c r="E43" s="36"/>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0</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c r="B62" s="1899"/>
      <c r="C62" s="106">
        <v>2014</v>
      </c>
      <c r="D62" s="107"/>
      <c r="E62" s="108"/>
      <c r="F62" s="109"/>
      <c r="G62" s="109"/>
      <c r="H62" s="109"/>
      <c r="I62" s="109"/>
      <c r="J62" s="109"/>
      <c r="K62" s="109"/>
      <c r="L62" s="34"/>
      <c r="M62" s="7"/>
      <c r="N62" s="7"/>
      <c r="O62" s="7"/>
    </row>
    <row r="63" spans="1:15">
      <c r="A63" s="1891"/>
      <c r="B63" s="1899"/>
      <c r="C63" s="110">
        <v>2015</v>
      </c>
      <c r="D63" s="111"/>
      <c r="E63" s="112"/>
      <c r="F63" s="38"/>
      <c r="G63" s="38"/>
      <c r="H63" s="38"/>
      <c r="I63" s="38"/>
      <c r="J63" s="38"/>
      <c r="K63" s="38"/>
      <c r="L63" s="88"/>
      <c r="M63" s="7"/>
      <c r="N63" s="7"/>
      <c r="O63" s="7"/>
    </row>
    <row r="64" spans="1:15">
      <c r="A64" s="1891"/>
      <c r="B64" s="1899"/>
      <c r="C64" s="110">
        <v>2016</v>
      </c>
      <c r="D64" s="111">
        <v>1</v>
      </c>
      <c r="E64" s="112">
        <v>1</v>
      </c>
      <c r="F64" s="38"/>
      <c r="G64" s="38"/>
      <c r="H64" s="38"/>
      <c r="I64" s="38"/>
      <c r="J64" s="38"/>
      <c r="K64" s="38"/>
      <c r="L64" s="88"/>
      <c r="M64" s="7"/>
      <c r="N64" s="7"/>
      <c r="O64" s="7"/>
    </row>
    <row r="65" spans="1:20">
      <c r="A65" s="1891"/>
      <c r="B65" s="1899"/>
      <c r="C65" s="110">
        <v>2017</v>
      </c>
      <c r="D65" s="111">
        <v>3</v>
      </c>
      <c r="E65" s="112">
        <v>3</v>
      </c>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4</v>
      </c>
      <c r="E69" s="115">
        <f>SUM(E62:E68)</f>
        <v>4</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1683">
        <f>SUM(D165,F165,H165)</f>
        <v>0</v>
      </c>
      <c r="K165" s="253">
        <f>SUM(E165,G165,I165)</f>
        <v>0</v>
      </c>
      <c r="L165" s="1531"/>
    </row>
    <row r="166" spans="1:18">
      <c r="A166" s="1880"/>
      <c r="B166" s="1881"/>
      <c r="C166" s="254">
        <v>2015</v>
      </c>
      <c r="D166" s="255"/>
      <c r="E166" s="255"/>
      <c r="F166" s="255"/>
      <c r="G166" s="255"/>
      <c r="H166" s="255"/>
      <c r="I166" s="256"/>
      <c r="J166" s="1684">
        <f t="shared" ref="J166:K171" si="17">SUM(D166,F166,H166)</f>
        <v>0</v>
      </c>
      <c r="K166" s="408">
        <f t="shared" si="17"/>
        <v>0</v>
      </c>
      <c r="L166" s="1531"/>
    </row>
    <row r="167" spans="1:18">
      <c r="A167" s="1880"/>
      <c r="B167" s="1881"/>
      <c r="C167" s="254">
        <v>2016</v>
      </c>
      <c r="D167" s="255"/>
      <c r="E167" s="255"/>
      <c r="F167" s="255"/>
      <c r="G167" s="255"/>
      <c r="H167" s="255"/>
      <c r="I167" s="256"/>
      <c r="J167" s="1684">
        <f t="shared" si="17"/>
        <v>0</v>
      </c>
      <c r="K167" s="408">
        <f t="shared" si="17"/>
        <v>0</v>
      </c>
    </row>
    <row r="168" spans="1:18">
      <c r="A168" s="1880"/>
      <c r="B168" s="1881"/>
      <c r="C168" s="254">
        <v>2017</v>
      </c>
      <c r="D168" s="255"/>
      <c r="E168" s="165"/>
      <c r="F168" s="255"/>
      <c r="G168" s="255"/>
      <c r="H168" s="255"/>
      <c r="I168" s="256"/>
      <c r="J168" s="1684">
        <f t="shared" si="17"/>
        <v>0</v>
      </c>
      <c r="K168" s="408">
        <f t="shared" si="17"/>
        <v>0</v>
      </c>
    </row>
    <row r="169" spans="1:18">
      <c r="A169" s="1880"/>
      <c r="B169" s="1881"/>
      <c r="C169" s="262">
        <v>2018</v>
      </c>
      <c r="D169" s="255"/>
      <c r="E169" s="255"/>
      <c r="F169" s="255"/>
      <c r="G169" s="263"/>
      <c r="H169" s="255"/>
      <c r="I169" s="256"/>
      <c r="J169" s="1684">
        <f t="shared" si="17"/>
        <v>0</v>
      </c>
      <c r="K169" s="408">
        <f t="shared" si="17"/>
        <v>0</v>
      </c>
      <c r="L169" s="1531"/>
    </row>
    <row r="170" spans="1:18">
      <c r="A170" s="1880"/>
      <c r="B170" s="1881"/>
      <c r="C170" s="254">
        <v>2019</v>
      </c>
      <c r="D170" s="165"/>
      <c r="E170" s="255"/>
      <c r="F170" s="255"/>
      <c r="G170" s="255"/>
      <c r="H170" s="263"/>
      <c r="I170" s="256"/>
      <c r="J170" s="1684">
        <f t="shared" si="17"/>
        <v>0</v>
      </c>
      <c r="K170" s="408">
        <f t="shared" si="17"/>
        <v>0</v>
      </c>
      <c r="L170" s="1531"/>
    </row>
    <row r="171" spans="1:18">
      <c r="A171" s="1880"/>
      <c r="B171" s="1881"/>
      <c r="C171" s="262">
        <v>2020</v>
      </c>
      <c r="D171" s="255"/>
      <c r="E171" s="255"/>
      <c r="F171" s="255"/>
      <c r="G171" s="255"/>
      <c r="H171" s="255"/>
      <c r="I171" s="256"/>
      <c r="J171" s="1684">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472</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c r="E179" s="38">
        <v>1</v>
      </c>
      <c r="F179" s="38"/>
      <c r="G179" s="284">
        <f t="shared" ref="G179:G184" si="19">SUM(D179:F179)</f>
        <v>1</v>
      </c>
      <c r="H179" s="411"/>
      <c r="I179" s="112"/>
      <c r="J179" s="38">
        <v>1</v>
      </c>
      <c r="K179" s="38"/>
      <c r="L179" s="38"/>
      <c r="M179" s="38"/>
      <c r="N179" s="38"/>
      <c r="O179" s="88"/>
    </row>
    <row r="180" spans="1:15">
      <c r="A180" s="1891"/>
      <c r="B180" s="1899"/>
      <c r="C180" s="110">
        <v>2016</v>
      </c>
      <c r="D180" s="37">
        <v>19</v>
      </c>
      <c r="E180" s="38">
        <v>2</v>
      </c>
      <c r="F180" s="38"/>
      <c r="G180" s="284">
        <f t="shared" si="19"/>
        <v>21</v>
      </c>
      <c r="H180" s="411">
        <v>22</v>
      </c>
      <c r="I180" s="112">
        <v>20</v>
      </c>
      <c r="J180" s="38">
        <v>1</v>
      </c>
      <c r="K180" s="38"/>
      <c r="L180" s="38"/>
      <c r="M180" s="38"/>
      <c r="N180" s="38"/>
      <c r="O180" s="88"/>
    </row>
    <row r="181" spans="1:15">
      <c r="A181" s="1891"/>
      <c r="B181" s="1899"/>
      <c r="C181" s="110">
        <v>2017</v>
      </c>
      <c r="D181" s="37"/>
      <c r="E181" s="38">
        <v>3</v>
      </c>
      <c r="F181" s="38">
        <v>2</v>
      </c>
      <c r="G181" s="284">
        <f t="shared" si="19"/>
        <v>5</v>
      </c>
      <c r="H181" s="411">
        <v>9</v>
      </c>
      <c r="I181" s="112">
        <v>5</v>
      </c>
      <c r="J181" s="38"/>
      <c r="K181" s="38"/>
      <c r="L181" s="38"/>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19</v>
      </c>
      <c r="E185" s="116">
        <f>SUM(E178:E184)</f>
        <v>6</v>
      </c>
      <c r="F185" s="116">
        <f>SUM(F178:F184)</f>
        <v>2</v>
      </c>
      <c r="G185" s="220">
        <f t="shared" ref="G185:O185" si="20">SUM(G178:G184)</f>
        <v>27</v>
      </c>
      <c r="H185" s="285">
        <f t="shared" si="20"/>
        <v>31</v>
      </c>
      <c r="I185" s="115">
        <f t="shared" si="20"/>
        <v>25</v>
      </c>
      <c r="J185" s="116">
        <f t="shared" si="20"/>
        <v>2</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473</v>
      </c>
      <c r="B189" s="1977"/>
      <c r="C189" s="290">
        <v>2014</v>
      </c>
      <c r="D189" s="133"/>
      <c r="E189" s="109"/>
      <c r="F189" s="109"/>
      <c r="G189" s="291">
        <f>SUM(D189:F189)</f>
        <v>0</v>
      </c>
      <c r="H189" s="108"/>
      <c r="I189" s="109"/>
      <c r="J189" s="109"/>
      <c r="K189" s="109"/>
      <c r="L189" s="134"/>
    </row>
    <row r="190" spans="1:15">
      <c r="A190" s="1978"/>
      <c r="B190" s="1855"/>
      <c r="C190" s="73">
        <v>2015</v>
      </c>
      <c r="D190" s="37"/>
      <c r="E190" s="38">
        <v>28</v>
      </c>
      <c r="F190" s="38"/>
      <c r="G190" s="291">
        <f t="shared" ref="G190:G195" si="21">SUM(D190:F190)</f>
        <v>28</v>
      </c>
      <c r="H190" s="112"/>
      <c r="I190" s="38">
        <v>2</v>
      </c>
      <c r="J190" s="38">
        <v>11</v>
      </c>
      <c r="K190" s="38">
        <v>0</v>
      </c>
      <c r="L190" s="88">
        <v>15</v>
      </c>
    </row>
    <row r="191" spans="1:15">
      <c r="A191" s="1978"/>
      <c r="B191" s="1855"/>
      <c r="C191" s="73">
        <v>2016</v>
      </c>
      <c r="D191" s="37">
        <v>226</v>
      </c>
      <c r="E191" s="38">
        <v>98</v>
      </c>
      <c r="F191" s="38"/>
      <c r="G191" s="291">
        <f t="shared" si="21"/>
        <v>324</v>
      </c>
      <c r="H191" s="112"/>
      <c r="I191" s="38">
        <v>7</v>
      </c>
      <c r="J191" s="38">
        <v>92</v>
      </c>
      <c r="K191" s="38">
        <v>39</v>
      </c>
      <c r="L191" s="88">
        <v>186</v>
      </c>
    </row>
    <row r="192" spans="1:15">
      <c r="A192" s="1978"/>
      <c r="B192" s="1855"/>
      <c r="C192" s="73">
        <v>2017</v>
      </c>
      <c r="D192" s="37"/>
      <c r="E192" s="38">
        <v>130</v>
      </c>
      <c r="F192" s="38">
        <v>156</v>
      </c>
      <c r="G192" s="291">
        <f t="shared" si="21"/>
        <v>286</v>
      </c>
      <c r="H192" s="600"/>
      <c r="I192" s="91">
        <v>15</v>
      </c>
      <c r="J192" s="91">
        <v>89</v>
      </c>
      <c r="K192" s="91">
        <v>14</v>
      </c>
      <c r="L192" s="603">
        <v>168</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226</v>
      </c>
      <c r="E196" s="116">
        <f t="shared" si="22"/>
        <v>256</v>
      </c>
      <c r="F196" s="116">
        <f t="shared" si="22"/>
        <v>156</v>
      </c>
      <c r="G196" s="292">
        <f t="shared" si="22"/>
        <v>638</v>
      </c>
      <c r="H196" s="115">
        <f t="shared" si="22"/>
        <v>0</v>
      </c>
      <c r="I196" s="116">
        <f t="shared" si="22"/>
        <v>24</v>
      </c>
      <c r="J196" s="116">
        <f t="shared" si="22"/>
        <v>192</v>
      </c>
      <c r="K196" s="116">
        <f t="shared" si="22"/>
        <v>53</v>
      </c>
      <c r="L196" s="117">
        <f t="shared" si="22"/>
        <v>369</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474</v>
      </c>
      <c r="C213" s="72"/>
      <c r="D213" s="135">
        <v>8960.01</v>
      </c>
      <c r="E213" s="135">
        <v>73629.61</v>
      </c>
      <c r="F213" s="512">
        <v>91547.39</v>
      </c>
      <c r="G213" s="135"/>
      <c r="H213" s="135"/>
      <c r="I213" s="326"/>
    </row>
    <row r="214" spans="1:12">
      <c r="A214" t="s">
        <v>164</v>
      </c>
      <c r="B214" s="1974"/>
      <c r="C214" s="72"/>
      <c r="D214" s="135">
        <v>8960.01</v>
      </c>
      <c r="E214" s="135">
        <v>73629.61</v>
      </c>
      <c r="F214" s="512">
        <v>91547.39</v>
      </c>
      <c r="G214" s="135"/>
      <c r="H214" s="135"/>
      <c r="I214" s="326"/>
    </row>
    <row r="215" spans="1:12">
      <c r="A215" t="s">
        <v>165</v>
      </c>
      <c r="B215" s="1974"/>
      <c r="C215" s="72"/>
      <c r="D215" s="135"/>
      <c r="E215" s="135"/>
      <c r="F215" s="135"/>
      <c r="G215" s="135"/>
      <c r="H215" s="135"/>
      <c r="I215" s="326"/>
    </row>
    <row r="216" spans="1:12">
      <c r="A216" t="s">
        <v>166</v>
      </c>
      <c r="B216" s="1974"/>
      <c r="C216" s="72"/>
      <c r="D216" s="135"/>
      <c r="E216" s="135"/>
      <c r="F216" s="135"/>
      <c r="G216" s="135"/>
      <c r="H216" s="135"/>
      <c r="I216" s="326"/>
    </row>
    <row r="217" spans="1:12">
      <c r="A217" t="s">
        <v>167</v>
      </c>
      <c r="B217" s="1974"/>
      <c r="C217" s="72"/>
      <c r="D217" s="135"/>
      <c r="E217" s="135"/>
      <c r="F217" s="135"/>
      <c r="G217" s="135"/>
      <c r="H217" s="135"/>
      <c r="I217" s="326"/>
    </row>
    <row r="218" spans="1:12" ht="30">
      <c r="A218" s="56" t="s">
        <v>168</v>
      </c>
      <c r="B218" s="1974"/>
      <c r="C218" s="72"/>
      <c r="D218" s="135">
        <v>95116.93</v>
      </c>
      <c r="E218" s="512">
        <v>70535.520000000004</v>
      </c>
      <c r="F218" s="512">
        <f>68115.61-274.14</f>
        <v>67841.47</v>
      </c>
      <c r="G218" s="135"/>
      <c r="H218" s="135"/>
      <c r="I218" s="326"/>
    </row>
    <row r="219" spans="1:12" ht="65.25" customHeight="1" thickBot="1">
      <c r="A219" s="1532"/>
      <c r="B219" s="1975"/>
      <c r="C219" s="42" t="s">
        <v>13</v>
      </c>
      <c r="D219" s="333">
        <f>SUM(D214:D218)</f>
        <v>104076.93999999999</v>
      </c>
      <c r="E219" s="333">
        <f t="shared" ref="E219:I219" si="24">SUM(E214:E218)</f>
        <v>144165.13</v>
      </c>
      <c r="F219" s="333">
        <f t="shared" si="24"/>
        <v>159388.85999999999</v>
      </c>
      <c r="G219" s="333">
        <f t="shared" si="24"/>
        <v>0</v>
      </c>
      <c r="H219" s="333">
        <f t="shared" si="24"/>
        <v>0</v>
      </c>
      <c r="I219" s="42">
        <f t="shared" si="24"/>
        <v>0</v>
      </c>
    </row>
    <row r="227" spans="1:1">
      <c r="A227" s="56"/>
    </row>
  </sheetData>
  <mergeCells count="55">
    <mergeCell ref="A28:B35"/>
    <mergeCell ref="F3:O3"/>
    <mergeCell ref="A4:O10"/>
    <mergeCell ref="D15:G15"/>
    <mergeCell ref="A17:B24"/>
    <mergeCell ref="D26:G26"/>
    <mergeCell ref="C60:C61"/>
    <mergeCell ref="D60:D61"/>
    <mergeCell ref="A62:B69"/>
    <mergeCell ref="A72:B79"/>
    <mergeCell ref="A85:B92"/>
    <mergeCell ref="A120:B127"/>
    <mergeCell ref="A129:A130"/>
    <mergeCell ref="A40:B47"/>
    <mergeCell ref="A50:B58"/>
    <mergeCell ref="A60:A61"/>
    <mergeCell ref="A96:A97"/>
    <mergeCell ref="B96:B97"/>
    <mergeCell ref="A109:B116"/>
    <mergeCell ref="A107:A108"/>
    <mergeCell ref="A118:A119"/>
    <mergeCell ref="B118:B119"/>
    <mergeCell ref="B129:B130"/>
    <mergeCell ref="C118:C119"/>
    <mergeCell ref="B107:B108"/>
    <mergeCell ref="C96:C97"/>
    <mergeCell ref="D96:E96"/>
    <mergeCell ref="A98:B105"/>
    <mergeCell ref="C107:C108"/>
    <mergeCell ref="D107:D108"/>
    <mergeCell ref="D118:D119"/>
    <mergeCell ref="J142:N142"/>
    <mergeCell ref="A153:A154"/>
    <mergeCell ref="B153:B154"/>
    <mergeCell ref="C153:C154"/>
    <mergeCell ref="A144:B151"/>
    <mergeCell ref="B142:B143"/>
    <mergeCell ref="C142:C143"/>
    <mergeCell ref="A131:B137"/>
    <mergeCell ref="A142:A143"/>
    <mergeCell ref="A155:B162"/>
    <mergeCell ref="A165:B172"/>
    <mergeCell ref="A189:B196"/>
    <mergeCell ref="A202:B209"/>
    <mergeCell ref="B213:B219"/>
    <mergeCell ref="I176:O176"/>
    <mergeCell ref="A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13"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475</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053"/>
      <c r="B17" s="2622" t="s">
        <v>476</v>
      </c>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053"/>
      <c r="B18" s="2622"/>
      <c r="C18" s="36">
        <v>2015</v>
      </c>
      <c r="D18" s="584"/>
      <c r="E18" s="38">
        <v>2</v>
      </c>
      <c r="F18" s="38"/>
      <c r="G18" s="32">
        <f>SUM(D18:F18)</f>
        <v>2</v>
      </c>
      <c r="H18" s="39">
        <v>2</v>
      </c>
      <c r="I18" s="38"/>
      <c r="J18" s="38"/>
      <c r="K18" s="38"/>
      <c r="L18" s="38"/>
      <c r="M18" s="38"/>
      <c r="N18" s="38"/>
      <c r="O18" s="40"/>
      <c r="P18" s="35"/>
      <c r="Q18" s="35"/>
      <c r="R18" s="35"/>
      <c r="S18" s="35"/>
      <c r="T18" s="35"/>
      <c r="U18" s="35"/>
      <c r="V18" s="35"/>
      <c r="W18" s="35"/>
      <c r="X18" s="35"/>
      <c r="Y18" s="35"/>
    </row>
    <row r="19" spans="1:25">
      <c r="A19" s="2053"/>
      <c r="B19" s="2622"/>
      <c r="C19" s="36">
        <v>2016</v>
      </c>
      <c r="D19" s="37"/>
      <c r="E19" s="38">
        <v>2</v>
      </c>
      <c r="F19" s="38"/>
      <c r="G19" s="32">
        <f>D19+2</f>
        <v>2</v>
      </c>
      <c r="H19" s="39">
        <v>2</v>
      </c>
      <c r="I19" s="38"/>
      <c r="J19" s="38"/>
      <c r="K19" s="38"/>
      <c r="L19" s="38"/>
      <c r="M19" s="38"/>
      <c r="N19" s="38"/>
      <c r="O19" s="40"/>
      <c r="P19" s="35"/>
      <c r="Q19" s="35"/>
      <c r="R19" s="35"/>
      <c r="S19" s="35"/>
      <c r="T19" s="35"/>
      <c r="U19" s="35"/>
      <c r="V19" s="35"/>
      <c r="W19" s="35"/>
      <c r="X19" s="35"/>
      <c r="Y19" s="35"/>
    </row>
    <row r="20" spans="1:25">
      <c r="A20" s="2053"/>
      <c r="B20" s="2622"/>
      <c r="C20" s="36">
        <v>2017</v>
      </c>
      <c r="D20" s="37"/>
      <c r="E20" s="38">
        <v>2</v>
      </c>
      <c r="F20" s="38"/>
      <c r="G20" s="32">
        <f t="shared" si="0"/>
        <v>2</v>
      </c>
      <c r="H20" s="39">
        <v>2</v>
      </c>
      <c r="I20" s="38"/>
      <c r="J20" s="38"/>
      <c r="K20" s="38"/>
      <c r="L20" s="38"/>
      <c r="M20" s="38"/>
      <c r="N20" s="38"/>
      <c r="O20" s="40"/>
      <c r="P20" s="35"/>
      <c r="Q20" s="35"/>
      <c r="R20" s="35"/>
      <c r="S20" s="35"/>
      <c r="T20" s="35"/>
      <c r="U20" s="35"/>
      <c r="V20" s="35"/>
      <c r="W20" s="35"/>
      <c r="X20" s="35"/>
      <c r="Y20" s="35"/>
    </row>
    <row r="21" spans="1:25">
      <c r="A21" s="2053"/>
      <c r="B21" s="2622"/>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053"/>
      <c r="B22" s="2622"/>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053"/>
      <c r="B23" s="2622"/>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201.75" customHeight="1" thickBot="1">
      <c r="A24" s="2054"/>
      <c r="B24" s="2623"/>
      <c r="C24" s="42" t="s">
        <v>13</v>
      </c>
      <c r="D24" s="43">
        <f>SUM(D17:D23)</f>
        <v>0</v>
      </c>
      <c r="E24" s="44">
        <v>2</v>
      </c>
      <c r="F24" s="44">
        <f>SUM(F17:F23)</f>
        <v>0</v>
      </c>
      <c r="G24" s="45">
        <f>SUM(D24:F24)</f>
        <v>2</v>
      </c>
      <c r="H24" s="46">
        <f>SUM(H17:H23)</f>
        <v>6</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053"/>
      <c r="B28" s="2580" t="s">
        <v>477</v>
      </c>
      <c r="C28" s="57">
        <v>2014</v>
      </c>
      <c r="D28" s="33"/>
      <c r="E28" s="31"/>
      <c r="F28" s="31"/>
      <c r="G28" s="58">
        <f>SUM(D28:F28)</f>
        <v>0</v>
      </c>
      <c r="H28" s="35"/>
      <c r="I28" s="35"/>
      <c r="J28" s="35"/>
      <c r="K28" s="35"/>
      <c r="L28" s="35"/>
      <c r="M28" s="35"/>
      <c r="N28" s="35"/>
      <c r="O28" s="35"/>
      <c r="P28" s="35"/>
      <c r="Q28" s="7"/>
    </row>
    <row r="29" spans="1:25">
      <c r="A29" s="2053"/>
      <c r="B29" s="2580"/>
      <c r="C29" s="59">
        <v>2015</v>
      </c>
      <c r="D29" s="39"/>
      <c r="E29" s="38">
        <v>200</v>
      </c>
      <c r="F29" s="38"/>
      <c r="G29" s="58">
        <f t="shared" ref="G29:G35" si="2">SUM(D29:F29)</f>
        <v>200</v>
      </c>
      <c r="H29" s="35"/>
      <c r="I29" s="35"/>
      <c r="J29" s="35"/>
      <c r="K29" s="35"/>
      <c r="L29" s="35"/>
      <c r="M29" s="35"/>
      <c r="N29" s="35"/>
      <c r="O29" s="35"/>
      <c r="P29" s="35"/>
      <c r="Q29" s="7"/>
    </row>
    <row r="30" spans="1:25">
      <c r="A30" s="2053"/>
      <c r="B30" s="2580"/>
      <c r="C30" s="59">
        <v>2016</v>
      </c>
      <c r="D30" s="39"/>
      <c r="E30" s="38">
        <v>250</v>
      </c>
      <c r="F30" s="38"/>
      <c r="G30" s="58">
        <f t="shared" si="2"/>
        <v>250</v>
      </c>
      <c r="H30" s="35"/>
      <c r="I30" s="35"/>
      <c r="J30" s="35"/>
      <c r="K30" s="35"/>
      <c r="L30" s="35"/>
      <c r="M30" s="35"/>
      <c r="N30" s="35"/>
      <c r="O30" s="35"/>
      <c r="P30" s="35"/>
      <c r="Q30" s="7"/>
    </row>
    <row r="31" spans="1:25">
      <c r="A31" s="2053"/>
      <c r="B31" s="2580"/>
      <c r="C31" s="59">
        <v>2017</v>
      </c>
      <c r="D31" s="39"/>
      <c r="E31" s="38">
        <v>300</v>
      </c>
      <c r="F31" s="38"/>
      <c r="G31" s="58">
        <f t="shared" si="2"/>
        <v>300</v>
      </c>
      <c r="H31" s="35"/>
      <c r="I31" s="35"/>
      <c r="J31" s="35"/>
      <c r="K31" s="35"/>
      <c r="L31" s="35"/>
      <c r="M31" s="35"/>
      <c r="N31" s="35"/>
      <c r="O31" s="35"/>
      <c r="P31" s="35"/>
      <c r="Q31" s="7"/>
    </row>
    <row r="32" spans="1:25">
      <c r="A32" s="2053"/>
      <c r="B32" s="2580"/>
      <c r="C32" s="59">
        <v>2018</v>
      </c>
      <c r="D32" s="39"/>
      <c r="E32" s="38"/>
      <c r="F32" s="38"/>
      <c r="G32" s="58">
        <f>SUM(D32:F32)</f>
        <v>0</v>
      </c>
      <c r="H32" s="35"/>
      <c r="I32" s="35"/>
      <c r="J32" s="35"/>
      <c r="K32" s="35"/>
      <c r="L32" s="35"/>
      <c r="M32" s="35"/>
      <c r="N32" s="35"/>
      <c r="O32" s="35"/>
      <c r="P32" s="35"/>
      <c r="Q32" s="7"/>
    </row>
    <row r="33" spans="1:17">
      <c r="A33" s="2053"/>
      <c r="B33" s="2580"/>
      <c r="C33" s="60">
        <v>2019</v>
      </c>
      <c r="D33" s="39"/>
      <c r="E33" s="38"/>
      <c r="F33" s="38"/>
      <c r="G33" s="58">
        <f t="shared" si="2"/>
        <v>0</v>
      </c>
      <c r="H33" s="35"/>
      <c r="I33" s="35"/>
      <c r="J33" s="35"/>
      <c r="K33" s="35"/>
      <c r="L33" s="35"/>
      <c r="M33" s="35"/>
      <c r="N33" s="35"/>
      <c r="O33" s="35"/>
      <c r="P33" s="35"/>
      <c r="Q33" s="7"/>
    </row>
    <row r="34" spans="1:17">
      <c r="A34" s="2053"/>
      <c r="B34" s="2580"/>
      <c r="C34" s="59">
        <v>2020</v>
      </c>
      <c r="D34" s="39"/>
      <c r="E34" s="38"/>
      <c r="F34" s="38"/>
      <c r="G34" s="58">
        <f t="shared" si="2"/>
        <v>0</v>
      </c>
      <c r="H34" s="35"/>
      <c r="I34" s="35"/>
      <c r="J34" s="35"/>
      <c r="K34" s="35"/>
      <c r="L34" s="35"/>
      <c r="M34" s="35"/>
      <c r="N34" s="35"/>
      <c r="O34" s="35"/>
      <c r="P34" s="35"/>
      <c r="Q34" s="7"/>
    </row>
    <row r="35" spans="1:17" ht="286.5" customHeight="1" thickBot="1">
      <c r="A35" s="2054"/>
      <c r="B35" s="2581"/>
      <c r="C35" s="61" t="s">
        <v>13</v>
      </c>
      <c r="D35" s="46">
        <f>SUM(D28:D34)</f>
        <v>0</v>
      </c>
      <c r="E35" s="44">
        <f>SUM(E28:E34)</f>
        <v>750</v>
      </c>
      <c r="F35" s="44">
        <f>SUM(F28:F34)</f>
        <v>0</v>
      </c>
      <c r="G35" s="48">
        <f t="shared" si="2"/>
        <v>750</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2053"/>
      <c r="B40" s="2061" t="s">
        <v>478</v>
      </c>
      <c r="C40" s="72">
        <v>2014</v>
      </c>
      <c r="D40" s="30"/>
      <c r="E40" s="29"/>
      <c r="F40" s="7"/>
      <c r="G40" s="35"/>
      <c r="H40" s="35"/>
    </row>
    <row r="41" spans="1:17">
      <c r="A41" s="2053"/>
      <c r="B41" s="2061"/>
      <c r="C41" s="73">
        <v>2015</v>
      </c>
      <c r="D41" s="37">
        <v>2417</v>
      </c>
      <c r="E41" s="36"/>
      <c r="F41" s="7"/>
      <c r="G41" s="35"/>
      <c r="H41" s="35"/>
    </row>
    <row r="42" spans="1:17">
      <c r="A42" s="2053"/>
      <c r="B42" s="2061"/>
      <c r="C42" s="73">
        <v>2016</v>
      </c>
      <c r="D42" s="1691">
        <v>9715</v>
      </c>
      <c r="E42" s="36"/>
      <c r="F42" s="7"/>
      <c r="G42" s="35"/>
      <c r="H42" s="35"/>
    </row>
    <row r="43" spans="1:17">
      <c r="A43" s="2053"/>
      <c r="B43" s="2061"/>
      <c r="C43" s="73">
        <v>2017</v>
      </c>
      <c r="D43" s="37">
        <v>17317</v>
      </c>
      <c r="E43" s="36"/>
      <c r="F43" s="7"/>
      <c r="G43" s="35"/>
      <c r="H43" s="35"/>
    </row>
    <row r="44" spans="1:17">
      <c r="A44" s="2053"/>
      <c r="B44" s="2061"/>
      <c r="C44" s="73">
        <v>2018</v>
      </c>
      <c r="D44" s="37"/>
      <c r="E44" s="36"/>
      <c r="F44" s="7" t="s">
        <v>262</v>
      </c>
      <c r="G44" s="35"/>
      <c r="H44" s="35"/>
    </row>
    <row r="45" spans="1:17">
      <c r="A45" s="2053"/>
      <c r="B45" s="2061"/>
      <c r="C45" s="73">
        <v>2019</v>
      </c>
      <c r="D45" s="37"/>
      <c r="E45" s="36"/>
      <c r="F45" s="7"/>
      <c r="G45" s="35"/>
      <c r="H45" s="35"/>
    </row>
    <row r="46" spans="1:17">
      <c r="A46" s="2053"/>
      <c r="B46" s="2061"/>
      <c r="C46" s="73">
        <v>2020</v>
      </c>
      <c r="D46" s="37"/>
      <c r="E46" s="36"/>
      <c r="F46" s="7"/>
      <c r="G46" s="35"/>
      <c r="H46" s="35"/>
    </row>
    <row r="47" spans="1:17" ht="15.75" thickBot="1">
      <c r="A47" s="2054"/>
      <c r="B47" s="2062"/>
      <c r="C47" s="42" t="s">
        <v>13</v>
      </c>
      <c r="D47" s="43">
        <f>SUM(D40:D46)</f>
        <v>29449</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c r="B62" s="1899"/>
      <c r="C62" s="106">
        <v>2014</v>
      </c>
      <c r="D62" s="107"/>
      <c r="E62" s="108"/>
      <c r="F62" s="109"/>
      <c r="G62" s="109"/>
      <c r="H62" s="109"/>
      <c r="I62" s="109"/>
      <c r="J62" s="109"/>
      <c r="K62" s="109"/>
      <c r="L62" s="34"/>
      <c r="M62" s="7"/>
      <c r="N62" s="7"/>
      <c r="O62" s="7"/>
    </row>
    <row r="63" spans="1:15">
      <c r="A63" s="1891"/>
      <c r="B63" s="1899"/>
      <c r="C63" s="110">
        <v>2015</v>
      </c>
      <c r="D63" s="111">
        <v>1</v>
      </c>
      <c r="E63" s="112">
        <v>1</v>
      </c>
      <c r="F63" s="38"/>
      <c r="G63" s="38"/>
      <c r="H63" s="38"/>
      <c r="I63" s="38"/>
      <c r="J63" s="38"/>
      <c r="K63" s="38"/>
      <c r="L63" s="88"/>
      <c r="M63" s="7"/>
      <c r="N63" s="7"/>
      <c r="O63" s="7"/>
    </row>
    <row r="64" spans="1:15">
      <c r="A64" s="1891"/>
      <c r="B64" s="1899"/>
      <c r="C64" s="110">
        <v>2016</v>
      </c>
      <c r="D64" s="111">
        <v>3</v>
      </c>
      <c r="E64" s="112">
        <v>3</v>
      </c>
      <c r="F64" s="38"/>
      <c r="G64" s="38"/>
      <c r="H64" s="38"/>
      <c r="I64" s="38"/>
      <c r="J64" s="38"/>
      <c r="K64" s="38"/>
      <c r="L64" s="88"/>
      <c r="M64" s="7"/>
      <c r="N64" s="7"/>
      <c r="O64" s="7"/>
    </row>
    <row r="65" spans="1:20">
      <c r="A65" s="1891"/>
      <c r="B65" s="1899"/>
      <c r="C65" s="110">
        <v>2017</v>
      </c>
      <c r="D65" s="111">
        <v>5</v>
      </c>
      <c r="E65" s="112">
        <v>5</v>
      </c>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9</v>
      </c>
      <c r="E69" s="115">
        <f>SUM(E62:E68)</f>
        <v>9</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053"/>
      <c r="B72" s="1929"/>
      <c r="C72" s="72">
        <v>2014</v>
      </c>
      <c r="D72" s="131"/>
      <c r="E72" s="131"/>
      <c r="F72" s="131"/>
      <c r="G72" s="132">
        <f>SUM(D72:F72)</f>
        <v>0</v>
      </c>
      <c r="H72" s="30"/>
      <c r="I72" s="133"/>
      <c r="J72" s="109"/>
      <c r="K72" s="109"/>
      <c r="L72" s="109"/>
      <c r="M72" s="109"/>
      <c r="N72" s="109"/>
      <c r="O72" s="134"/>
    </row>
    <row r="73" spans="1:20">
      <c r="A73" s="2053"/>
      <c r="B73" s="1929"/>
      <c r="C73" s="73">
        <v>2015</v>
      </c>
      <c r="D73" s="135"/>
      <c r="E73" s="135"/>
      <c r="F73" s="135"/>
      <c r="G73" s="132">
        <f t="shared" ref="G73:G78" si="5">SUM(D73:F73)</f>
        <v>0</v>
      </c>
      <c r="H73" s="37"/>
      <c r="I73" s="37"/>
      <c r="J73" s="38"/>
      <c r="K73" s="38"/>
      <c r="L73" s="38"/>
      <c r="M73" s="38"/>
      <c r="N73" s="38"/>
      <c r="O73" s="88"/>
    </row>
    <row r="74" spans="1:20">
      <c r="A74" s="2053"/>
      <c r="B74" s="1929"/>
      <c r="C74" s="73">
        <v>2016</v>
      </c>
      <c r="D74" s="135"/>
      <c r="E74" s="135"/>
      <c r="F74" s="135"/>
      <c r="G74" s="132">
        <f t="shared" si="5"/>
        <v>0</v>
      </c>
      <c r="H74" s="37"/>
      <c r="I74" s="37"/>
      <c r="J74" s="38"/>
      <c r="K74" s="38"/>
      <c r="L74" s="38"/>
      <c r="M74" s="38"/>
      <c r="N74" s="38"/>
      <c r="O74" s="88"/>
    </row>
    <row r="75" spans="1:20">
      <c r="A75" s="2053"/>
      <c r="B75" s="1929"/>
      <c r="C75" s="73">
        <v>2017</v>
      </c>
      <c r="D75" s="135"/>
      <c r="E75" s="135"/>
      <c r="F75" s="135"/>
      <c r="G75" s="132">
        <f t="shared" si="5"/>
        <v>0</v>
      </c>
      <c r="H75" s="37"/>
      <c r="I75" s="37"/>
      <c r="J75" s="38"/>
      <c r="K75" s="38"/>
      <c r="L75" s="38"/>
      <c r="M75" s="38"/>
      <c r="N75" s="38"/>
      <c r="O75" s="88"/>
    </row>
    <row r="76" spans="1:20">
      <c r="A76" s="2053"/>
      <c r="B76" s="1929"/>
      <c r="C76" s="73">
        <v>2018</v>
      </c>
      <c r="D76" s="135"/>
      <c r="E76" s="135"/>
      <c r="F76" s="135"/>
      <c r="G76" s="132">
        <f t="shared" si="5"/>
        <v>0</v>
      </c>
      <c r="H76" s="37"/>
      <c r="I76" s="37"/>
      <c r="J76" s="38"/>
      <c r="K76" s="38"/>
      <c r="L76" s="38"/>
      <c r="M76" s="38"/>
      <c r="N76" s="38"/>
      <c r="O76" s="88"/>
    </row>
    <row r="77" spans="1:20" ht="15.75" customHeight="1">
      <c r="A77" s="2053"/>
      <c r="B77" s="1929"/>
      <c r="C77" s="73">
        <v>2019</v>
      </c>
      <c r="D77" s="135"/>
      <c r="E77" s="135"/>
      <c r="F77" s="135"/>
      <c r="G77" s="132">
        <f t="shared" si="5"/>
        <v>0</v>
      </c>
      <c r="H77" s="37"/>
      <c r="I77" s="37"/>
      <c r="J77" s="38"/>
      <c r="K77" s="38"/>
      <c r="L77" s="38"/>
      <c r="M77" s="38"/>
      <c r="N77" s="38"/>
      <c r="O77" s="88"/>
    </row>
    <row r="78" spans="1:20" ht="17.25" customHeight="1">
      <c r="A78" s="2053"/>
      <c r="B78" s="1929"/>
      <c r="C78" s="73">
        <v>2020</v>
      </c>
      <c r="D78" s="135"/>
      <c r="E78" s="135"/>
      <c r="F78" s="135"/>
      <c r="G78" s="132">
        <f t="shared" si="5"/>
        <v>0</v>
      </c>
      <c r="H78" s="37"/>
      <c r="I78" s="37"/>
      <c r="J78" s="38"/>
      <c r="K78" s="38"/>
      <c r="L78" s="38"/>
      <c r="M78" s="38"/>
      <c r="N78" s="38"/>
      <c r="O78" s="88"/>
    </row>
    <row r="79" spans="1:20" ht="20.25" customHeight="1" thickBot="1">
      <c r="A79" s="2054"/>
      <c r="B79" s="1932"/>
      <c r="C79" s="136" t="s">
        <v>13</v>
      </c>
      <c r="D79" s="114">
        <f>SUM(D72:D78)</f>
        <v>0</v>
      </c>
      <c r="E79" s="114">
        <f>SUM(E72:E78)</f>
        <v>0</v>
      </c>
      <c r="F79" s="114">
        <f>SUM(F72:F78)</f>
        <v>0</v>
      </c>
      <c r="G79" s="137">
        <f>SUM(G72:G78)</f>
        <v>0</v>
      </c>
      <c r="H79" s="138">
        <f>SUM(H72:H78)</f>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v>31</v>
      </c>
      <c r="E88" s="112">
        <v>31</v>
      </c>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31</v>
      </c>
      <c r="E92" s="115">
        <f t="shared" si="7"/>
        <v>31</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930"/>
      <c r="B178" s="2621" t="s">
        <v>479</v>
      </c>
      <c r="C178" s="106">
        <v>2014</v>
      </c>
      <c r="D178" s="30"/>
      <c r="E178" s="31"/>
      <c r="F178" s="31"/>
      <c r="G178" s="284">
        <f>SUM(D178:F178)</f>
        <v>0</v>
      </c>
      <c r="H178" s="155"/>
      <c r="I178" s="155"/>
      <c r="J178" s="31"/>
      <c r="K178" s="31"/>
      <c r="L178" s="31"/>
      <c r="M178" s="31"/>
      <c r="N178" s="31"/>
      <c r="O178" s="34"/>
    </row>
    <row r="179" spans="1:15">
      <c r="A179" s="1930"/>
      <c r="B179" s="2622"/>
      <c r="C179" s="110">
        <v>2015</v>
      </c>
      <c r="D179" s="37">
        <v>2</v>
      </c>
      <c r="E179" s="38"/>
      <c r="F179" s="38"/>
      <c r="G179" s="284">
        <f t="shared" ref="G179:G184" si="19">SUM(D179:F179)</f>
        <v>2</v>
      </c>
      <c r="H179" s="411">
        <v>2</v>
      </c>
      <c r="I179" s="112">
        <v>1</v>
      </c>
      <c r="J179" s="38">
        <v>1</v>
      </c>
      <c r="K179" s="38"/>
      <c r="L179" s="38"/>
      <c r="M179" s="38"/>
      <c r="N179" s="38"/>
      <c r="O179" s="88"/>
    </row>
    <row r="180" spans="1:15">
      <c r="A180" s="1930"/>
      <c r="B180" s="2622"/>
      <c r="C180" s="110">
        <v>2016</v>
      </c>
      <c r="D180" s="37">
        <v>7</v>
      </c>
      <c r="E180" s="38">
        <v>1</v>
      </c>
      <c r="F180" s="38">
        <v>6</v>
      </c>
      <c r="G180" s="284">
        <f t="shared" si="19"/>
        <v>14</v>
      </c>
      <c r="H180" s="411">
        <v>17</v>
      </c>
      <c r="I180" s="112">
        <v>7</v>
      </c>
      <c r="J180" s="38">
        <v>1</v>
      </c>
      <c r="K180" s="38">
        <v>6</v>
      </c>
      <c r="L180" s="38"/>
      <c r="M180" s="38"/>
      <c r="N180" s="38"/>
      <c r="O180" s="88"/>
    </row>
    <row r="181" spans="1:15">
      <c r="A181" s="1930"/>
      <c r="B181" s="2622"/>
      <c r="C181" s="110">
        <v>2017</v>
      </c>
      <c r="D181" s="37">
        <v>1</v>
      </c>
      <c r="E181" s="38">
        <v>1</v>
      </c>
      <c r="F181" s="38">
        <v>2</v>
      </c>
      <c r="G181" s="284">
        <f t="shared" si="19"/>
        <v>4</v>
      </c>
      <c r="H181" s="411">
        <v>8</v>
      </c>
      <c r="I181" s="112">
        <v>4</v>
      </c>
      <c r="J181" s="38"/>
      <c r="K181" s="38"/>
      <c r="L181" s="38"/>
      <c r="M181" s="38"/>
      <c r="N181" s="38"/>
      <c r="O181" s="88"/>
    </row>
    <row r="182" spans="1:15">
      <c r="A182" s="1930"/>
      <c r="B182" s="2622"/>
      <c r="C182" s="110">
        <v>2018</v>
      </c>
      <c r="D182" s="37"/>
      <c r="E182" s="38"/>
      <c r="F182" s="38"/>
      <c r="G182" s="284">
        <f t="shared" si="19"/>
        <v>0</v>
      </c>
      <c r="H182" s="411"/>
      <c r="I182" s="112"/>
      <c r="J182" s="38"/>
      <c r="K182" s="38"/>
      <c r="L182" s="38"/>
      <c r="M182" s="38"/>
      <c r="N182" s="38"/>
      <c r="O182" s="88"/>
    </row>
    <row r="183" spans="1:15">
      <c r="A183" s="1930"/>
      <c r="B183" s="2622"/>
      <c r="C183" s="110">
        <v>2019</v>
      </c>
      <c r="D183" s="37"/>
      <c r="E183" s="38"/>
      <c r="F183" s="38"/>
      <c r="G183" s="284">
        <f t="shared" si="19"/>
        <v>0</v>
      </c>
      <c r="H183" s="411"/>
      <c r="I183" s="112"/>
      <c r="J183" s="38"/>
      <c r="K183" s="38"/>
      <c r="L183" s="38"/>
      <c r="M183" s="38"/>
      <c r="N183" s="38"/>
      <c r="O183" s="88"/>
    </row>
    <row r="184" spans="1:15">
      <c r="A184" s="1930"/>
      <c r="B184" s="2622"/>
      <c r="C184" s="110">
        <v>2020</v>
      </c>
      <c r="D184" s="37"/>
      <c r="E184" s="38"/>
      <c r="F184" s="38"/>
      <c r="G184" s="284">
        <f t="shared" si="19"/>
        <v>0</v>
      </c>
      <c r="H184" s="411"/>
      <c r="I184" s="112"/>
      <c r="J184" s="38"/>
      <c r="K184" s="38"/>
      <c r="L184" s="38"/>
      <c r="M184" s="38"/>
      <c r="N184" s="38"/>
      <c r="O184" s="88"/>
    </row>
    <row r="185" spans="1:15" ht="271.5" customHeight="1" thickBot="1">
      <c r="A185" s="2572"/>
      <c r="B185" s="2623"/>
      <c r="C185" s="113" t="s">
        <v>13</v>
      </c>
      <c r="D185" s="139">
        <f>SUM(D178:D184)</f>
        <v>10</v>
      </c>
      <c r="E185" s="116">
        <f>SUM(E178:E184)</f>
        <v>2</v>
      </c>
      <c r="F185" s="116">
        <f>SUM(F178:F184)</f>
        <v>8</v>
      </c>
      <c r="G185" s="220">
        <f t="shared" ref="G185:O185" si="20">SUM(G178:G184)</f>
        <v>20</v>
      </c>
      <c r="H185" s="285">
        <f t="shared" si="20"/>
        <v>27</v>
      </c>
      <c r="I185" s="115">
        <f t="shared" si="20"/>
        <v>12</v>
      </c>
      <c r="J185" s="116">
        <f t="shared" si="20"/>
        <v>2</v>
      </c>
      <c r="K185" s="116">
        <f t="shared" si="20"/>
        <v>6</v>
      </c>
      <c r="L185" s="116">
        <f t="shared" si="20"/>
        <v>0</v>
      </c>
      <c r="M185" s="116">
        <f t="shared" si="20"/>
        <v>0</v>
      </c>
      <c r="N185" s="116">
        <f t="shared" si="20"/>
        <v>0</v>
      </c>
      <c r="O185" s="117">
        <f t="shared" si="20"/>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618"/>
      <c r="B189" s="2621" t="s">
        <v>480</v>
      </c>
      <c r="C189" s="290">
        <v>2014</v>
      </c>
      <c r="D189" s="133"/>
      <c r="E189" s="109"/>
      <c r="F189" s="109"/>
      <c r="G189" s="291">
        <f>SUM(D189:F189)</f>
        <v>0</v>
      </c>
      <c r="H189" s="108"/>
      <c r="I189" s="109"/>
      <c r="J189" s="109"/>
      <c r="K189" s="109"/>
      <c r="L189" s="134"/>
    </row>
    <row r="190" spans="1:15">
      <c r="A190" s="2619"/>
      <c r="B190" s="2622"/>
      <c r="C190" s="73">
        <v>2015</v>
      </c>
      <c r="D190" s="37">
        <v>100</v>
      </c>
      <c r="E190" s="38"/>
      <c r="F190" s="38"/>
      <c r="G190" s="291">
        <f t="shared" ref="G190:G195" si="21">SUM(D190:F190)</f>
        <v>100</v>
      </c>
      <c r="H190" s="112"/>
      <c r="I190" s="38"/>
      <c r="J190" s="38">
        <v>22</v>
      </c>
      <c r="K190" s="38"/>
      <c r="L190" s="88">
        <v>78</v>
      </c>
    </row>
    <row r="191" spans="1:15">
      <c r="A191" s="2619"/>
      <c r="B191" s="2622"/>
      <c r="C191" s="73">
        <v>2016</v>
      </c>
      <c r="D191" s="37">
        <v>690</v>
      </c>
      <c r="E191" s="38">
        <v>50</v>
      </c>
      <c r="F191" s="38">
        <f>180+150+25+100</f>
        <v>455</v>
      </c>
      <c r="G191" s="291">
        <f>SUM(D191:F191)</f>
        <v>1195</v>
      </c>
      <c r="H191" s="112"/>
      <c r="I191" s="38">
        <v>3</v>
      </c>
      <c r="J191" s="38">
        <v>850</v>
      </c>
      <c r="K191" s="38"/>
      <c r="L191" s="88">
        <v>342</v>
      </c>
    </row>
    <row r="192" spans="1:15">
      <c r="A192" s="2619"/>
      <c r="B192" s="2622"/>
      <c r="C192" s="73">
        <v>2017</v>
      </c>
      <c r="D192" s="37">
        <v>65</v>
      </c>
      <c r="E192" s="38">
        <v>35</v>
      </c>
      <c r="F192" s="38">
        <v>125</v>
      </c>
      <c r="G192" s="291">
        <f t="shared" si="21"/>
        <v>225</v>
      </c>
      <c r="H192" s="112"/>
      <c r="I192" s="38">
        <v>3</v>
      </c>
      <c r="J192" s="38">
        <v>37</v>
      </c>
      <c r="K192" s="38"/>
      <c r="L192" s="88">
        <v>185</v>
      </c>
    </row>
    <row r="193" spans="1:14">
      <c r="A193" s="2619"/>
      <c r="B193" s="2622"/>
      <c r="C193" s="73">
        <v>2018</v>
      </c>
      <c r="D193" s="37"/>
      <c r="E193" s="38"/>
      <c r="F193" s="38"/>
      <c r="G193" s="291">
        <f t="shared" si="21"/>
        <v>0</v>
      </c>
      <c r="H193" s="112"/>
      <c r="I193" s="38"/>
      <c r="J193" s="38"/>
      <c r="K193" s="38"/>
      <c r="L193" s="88"/>
    </row>
    <row r="194" spans="1:14">
      <c r="A194" s="2619"/>
      <c r="B194" s="2622"/>
      <c r="C194" s="73">
        <v>2019</v>
      </c>
      <c r="D194" s="37"/>
      <c r="E194" s="38"/>
      <c r="F194" s="38"/>
      <c r="G194" s="291">
        <f t="shared" si="21"/>
        <v>0</v>
      </c>
      <c r="H194" s="112"/>
      <c r="I194" s="38"/>
      <c r="J194" s="38"/>
      <c r="K194" s="38"/>
      <c r="L194" s="88"/>
    </row>
    <row r="195" spans="1:14">
      <c r="A195" s="2619"/>
      <c r="B195" s="2622"/>
      <c r="C195" s="73">
        <v>2020</v>
      </c>
      <c r="D195" s="37"/>
      <c r="E195" s="38"/>
      <c r="F195" s="38"/>
      <c r="G195" s="291">
        <f t="shared" si="21"/>
        <v>0</v>
      </c>
      <c r="H195" s="112"/>
      <c r="I195" s="38"/>
      <c r="J195" s="38"/>
      <c r="K195" s="38"/>
      <c r="L195" s="88"/>
    </row>
    <row r="196" spans="1:14" ht="304.5" customHeight="1" thickBot="1">
      <c r="A196" s="2620"/>
      <c r="B196" s="2623"/>
      <c r="C196" s="136" t="s">
        <v>13</v>
      </c>
      <c r="D196" s="139">
        <f t="shared" ref="D196:K196" si="22">SUM(D189:D195)</f>
        <v>855</v>
      </c>
      <c r="E196" s="116">
        <f t="shared" si="22"/>
        <v>85</v>
      </c>
      <c r="F196" s="116">
        <v>345</v>
      </c>
      <c r="G196" s="292">
        <f t="shared" si="22"/>
        <v>1520</v>
      </c>
      <c r="H196" s="115">
        <f t="shared" si="22"/>
        <v>0</v>
      </c>
      <c r="I196" s="116">
        <f t="shared" si="22"/>
        <v>6</v>
      </c>
      <c r="J196" s="116">
        <f t="shared" si="22"/>
        <v>909</v>
      </c>
      <c r="K196" s="116">
        <f t="shared" si="22"/>
        <v>0</v>
      </c>
      <c r="L196" s="117">
        <f>SUM(L190:L195)</f>
        <v>605</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v>3</v>
      </c>
      <c r="E204" s="38">
        <v>32</v>
      </c>
      <c r="F204" s="38"/>
      <c r="G204" s="36"/>
      <c r="H204" s="308">
        <v>1</v>
      </c>
      <c r="I204" s="309"/>
      <c r="J204" s="310"/>
      <c r="K204" s="38"/>
      <c r="L204" s="88"/>
    </row>
    <row r="205" spans="1:14">
      <c r="A205" s="1854"/>
      <c r="B205" s="1855"/>
      <c r="C205" s="73">
        <v>2017</v>
      </c>
      <c r="D205" s="37"/>
      <c r="E205" s="38">
        <v>12</v>
      </c>
      <c r="F205" s="38"/>
      <c r="G205" s="36"/>
      <c r="H205" s="308">
        <v>1</v>
      </c>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3</v>
      </c>
      <c r="E209" s="139">
        <f t="shared" ref="E209:L209" si="23">SUM(E202:E208)</f>
        <v>44</v>
      </c>
      <c r="F209" s="139">
        <f t="shared" si="23"/>
        <v>0</v>
      </c>
      <c r="G209" s="139">
        <f t="shared" si="23"/>
        <v>0</v>
      </c>
      <c r="H209" s="139">
        <f t="shared" si="23"/>
        <v>2</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481</v>
      </c>
      <c r="C213" s="72"/>
      <c r="D213" s="328">
        <f>D214+D215+D216+D217</f>
        <v>8917.1</v>
      </c>
      <c r="E213" s="328">
        <f>E214+E215+E216+E217</f>
        <v>244564.83</v>
      </c>
      <c r="F213" s="328">
        <f>F214+F215+F216+F217</f>
        <v>94983.86</v>
      </c>
      <c r="G213" s="135"/>
      <c r="H213" s="135"/>
      <c r="I213" s="326"/>
    </row>
    <row r="214" spans="1:12">
      <c r="A214" t="s">
        <v>164</v>
      </c>
      <c r="B214" s="1974"/>
      <c r="C214" s="72"/>
      <c r="D214" s="328">
        <v>0</v>
      </c>
      <c r="E214" s="328">
        <v>0</v>
      </c>
      <c r="F214" s="328">
        <v>0</v>
      </c>
      <c r="G214" s="135"/>
      <c r="H214" s="135"/>
      <c r="I214" s="326"/>
    </row>
    <row r="215" spans="1:12">
      <c r="A215" t="s">
        <v>165</v>
      </c>
      <c r="B215" s="1974"/>
      <c r="C215" s="72"/>
      <c r="D215" s="328">
        <v>0</v>
      </c>
      <c r="E215" s="328">
        <v>0</v>
      </c>
      <c r="F215" s="328">
        <v>0</v>
      </c>
      <c r="G215" s="135"/>
      <c r="H215" s="135"/>
      <c r="I215" s="326"/>
    </row>
    <row r="216" spans="1:12">
      <c r="A216" t="s">
        <v>166</v>
      </c>
      <c r="B216" s="1974"/>
      <c r="C216" s="72"/>
      <c r="D216" s="328">
        <v>0</v>
      </c>
      <c r="E216" s="328">
        <v>0</v>
      </c>
      <c r="F216" s="328">
        <v>6106.95</v>
      </c>
      <c r="G216" s="135"/>
      <c r="H216" s="135"/>
      <c r="I216" s="326"/>
    </row>
    <row r="217" spans="1:12">
      <c r="A217" t="s">
        <v>167</v>
      </c>
      <c r="B217" s="1974"/>
      <c r="C217" s="72"/>
      <c r="D217" s="328">
        <v>8917.1</v>
      </c>
      <c r="E217" s="328">
        <v>244564.83</v>
      </c>
      <c r="F217" s="328">
        <v>88876.91</v>
      </c>
      <c r="G217" s="135"/>
      <c r="H217" s="135"/>
      <c r="I217" s="326"/>
    </row>
    <row r="218" spans="1:12" ht="30">
      <c r="A218" s="56" t="s">
        <v>168</v>
      </c>
      <c r="B218" s="1974"/>
      <c r="C218" s="72"/>
      <c r="D218" s="606">
        <v>99998.89</v>
      </c>
      <c r="E218" s="606">
        <v>41109.379999999997</v>
      </c>
      <c r="F218" s="328">
        <v>83559.88</v>
      </c>
      <c r="G218" s="135"/>
      <c r="H218" s="135"/>
      <c r="I218" s="326"/>
    </row>
    <row r="219" spans="1:12" ht="186.75" customHeight="1" thickBot="1">
      <c r="A219" s="1532"/>
      <c r="B219" s="1975"/>
      <c r="C219" s="42" t="s">
        <v>13</v>
      </c>
      <c r="D219" s="332">
        <f>SUM(D214:D218)</f>
        <v>108915.99</v>
      </c>
      <c r="E219" s="332">
        <f t="shared" ref="E219:I219" si="24">SUM(E214:E218)</f>
        <v>285674.20999999996</v>
      </c>
      <c r="F219" s="332">
        <f t="shared" si="24"/>
        <v>178543.74</v>
      </c>
      <c r="G219" s="333">
        <f t="shared" si="24"/>
        <v>0</v>
      </c>
      <c r="H219" s="333">
        <f t="shared" si="24"/>
        <v>0</v>
      </c>
      <c r="I219" s="333">
        <f t="shared" si="24"/>
        <v>0</v>
      </c>
    </row>
    <row r="227" spans="1:1">
      <c r="A227" s="56"/>
    </row>
  </sheetData>
  <mergeCells count="62">
    <mergeCell ref="A50:B58"/>
    <mergeCell ref="B1:F1"/>
    <mergeCell ref="F3:O3"/>
    <mergeCell ref="A4:O10"/>
    <mergeCell ref="D15:G15"/>
    <mergeCell ref="A17:A24"/>
    <mergeCell ref="B17:B24"/>
    <mergeCell ref="D26:G26"/>
    <mergeCell ref="A28:A35"/>
    <mergeCell ref="B28:B35"/>
    <mergeCell ref="A40:A47"/>
    <mergeCell ref="B40:B47"/>
    <mergeCell ref="A60:A61"/>
    <mergeCell ref="C60:C61"/>
    <mergeCell ref="D60:D61"/>
    <mergeCell ref="A62:B69"/>
    <mergeCell ref="A72:A79"/>
    <mergeCell ref="B72:B79"/>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120:B127"/>
    <mergeCell ref="A129:A130"/>
    <mergeCell ref="B129:B130"/>
    <mergeCell ref="A131:B137"/>
    <mergeCell ref="A142:A143"/>
    <mergeCell ref="B142:B143"/>
    <mergeCell ref="I176:O176"/>
    <mergeCell ref="C142:C143"/>
    <mergeCell ref="J142:N142"/>
    <mergeCell ref="A144:B151"/>
    <mergeCell ref="A153:A154"/>
    <mergeCell ref="B153:B154"/>
    <mergeCell ref="C153:C154"/>
    <mergeCell ref="A155:B162"/>
    <mergeCell ref="A165:B172"/>
    <mergeCell ref="A176:A177"/>
    <mergeCell ref="B176:B177"/>
    <mergeCell ref="C176:C177"/>
    <mergeCell ref="A178:A185"/>
    <mergeCell ref="B178:B185"/>
    <mergeCell ref="A187:A188"/>
    <mergeCell ref="B187:B188"/>
    <mergeCell ref="C187:C188"/>
    <mergeCell ref="H187:L187"/>
    <mergeCell ref="A189:A196"/>
    <mergeCell ref="B189:B196"/>
    <mergeCell ref="A202:B209"/>
    <mergeCell ref="B213:B219"/>
    <mergeCell ref="D187:G18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13" workbookViewId="0">
      <selection activeCell="D231" sqref="D23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482</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39.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483</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4</v>
      </c>
      <c r="E18" s="38"/>
      <c r="F18" s="38"/>
      <c r="G18" s="32">
        <f>SUM(D18:F18)</f>
        <v>4</v>
      </c>
      <c r="H18" s="39">
        <v>4</v>
      </c>
      <c r="I18" s="38"/>
      <c r="J18" s="38"/>
      <c r="K18" s="38"/>
      <c r="L18" s="38"/>
      <c r="M18" s="38"/>
      <c r="N18" s="38"/>
      <c r="O18" s="40"/>
      <c r="P18" s="35"/>
      <c r="Q18" s="35"/>
      <c r="R18" s="35"/>
      <c r="S18" s="35"/>
      <c r="T18" s="35"/>
      <c r="U18" s="35"/>
      <c r="V18" s="35"/>
      <c r="W18" s="35"/>
      <c r="X18" s="35"/>
      <c r="Y18" s="35"/>
    </row>
    <row r="19" spans="1:25">
      <c r="A19" s="1854"/>
      <c r="B19" s="1855"/>
      <c r="C19" s="36">
        <v>2016</v>
      </c>
      <c r="D19" s="37">
        <v>6</v>
      </c>
      <c r="E19" s="38"/>
      <c r="F19" s="38"/>
      <c r="G19" s="32">
        <f t="shared" si="0"/>
        <v>6</v>
      </c>
      <c r="H19" s="39">
        <v>2</v>
      </c>
      <c r="I19" s="38"/>
      <c r="J19" s="38"/>
      <c r="K19" s="38"/>
      <c r="L19" s="38"/>
      <c r="M19" s="38"/>
      <c r="N19" s="38"/>
      <c r="O19" s="40">
        <v>4</v>
      </c>
      <c r="P19" s="35"/>
      <c r="Q19" s="35"/>
      <c r="R19" s="35"/>
      <c r="S19" s="35"/>
      <c r="T19" s="35"/>
      <c r="U19" s="35"/>
      <c r="V19" s="35"/>
      <c r="W19" s="35"/>
      <c r="X19" s="35"/>
      <c r="Y19" s="35"/>
    </row>
    <row r="20" spans="1:25">
      <c r="A20" s="1854"/>
      <c r="B20" s="1855"/>
      <c r="C20" s="36">
        <v>2017</v>
      </c>
      <c r="D20" s="37">
        <v>3</v>
      </c>
      <c r="E20" s="38"/>
      <c r="F20" s="38"/>
      <c r="G20" s="32">
        <f t="shared" si="0"/>
        <v>3</v>
      </c>
      <c r="H20" s="39">
        <v>3</v>
      </c>
      <c r="I20" s="38"/>
      <c r="J20" s="38"/>
      <c r="K20" s="38"/>
      <c r="L20" s="38"/>
      <c r="M20" s="38"/>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63" customHeight="1" thickBot="1">
      <c r="A24" s="1856"/>
      <c r="B24" s="1857"/>
      <c r="C24" s="42" t="s">
        <v>13</v>
      </c>
      <c r="D24" s="43">
        <f>SUM(D17:D23)</f>
        <v>13</v>
      </c>
      <c r="E24" s="44">
        <f>SUM(E17:E23)</f>
        <v>0</v>
      </c>
      <c r="F24" s="44">
        <f>SUM(F17:F23)</f>
        <v>0</v>
      </c>
      <c r="G24" s="45">
        <f>SUM(D24:F24)</f>
        <v>13</v>
      </c>
      <c r="H24" s="46">
        <f>SUM(H17:H23)</f>
        <v>9</v>
      </c>
      <c r="I24" s="47">
        <f>SUM(I17:I23)</f>
        <v>0</v>
      </c>
      <c r="J24" s="47">
        <f t="shared" ref="J24:N24" si="1">SUM(J17:J23)</f>
        <v>0</v>
      </c>
      <c r="K24" s="47">
        <f t="shared" si="1"/>
        <v>0</v>
      </c>
      <c r="L24" s="47">
        <f t="shared" si="1"/>
        <v>0</v>
      </c>
      <c r="M24" s="47">
        <f t="shared" si="1"/>
        <v>0</v>
      </c>
      <c r="N24" s="47">
        <f t="shared" si="1"/>
        <v>0</v>
      </c>
      <c r="O24" s="48">
        <f>SUM(O17:O23)</f>
        <v>4</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484</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80</v>
      </c>
      <c r="E29" s="38"/>
      <c r="F29" s="38"/>
      <c r="G29" s="58"/>
      <c r="H29" s="35"/>
      <c r="I29" s="35"/>
      <c r="J29" s="35"/>
      <c r="K29" s="35"/>
      <c r="L29" s="35"/>
      <c r="M29" s="35"/>
      <c r="N29" s="35"/>
      <c r="O29" s="35"/>
      <c r="P29" s="35"/>
      <c r="Q29" s="7"/>
    </row>
    <row r="30" spans="1:25">
      <c r="A30" s="1854"/>
      <c r="B30" s="1855"/>
      <c r="C30" s="59">
        <v>2016</v>
      </c>
      <c r="D30" s="39">
        <v>728</v>
      </c>
      <c r="E30" s="38"/>
      <c r="F30" s="38"/>
      <c r="G30" s="58">
        <f t="shared" ref="G30:G35" si="2">SUM(D30:F30)</f>
        <v>728</v>
      </c>
      <c r="H30" s="35"/>
      <c r="I30" s="35"/>
      <c r="J30" s="35"/>
      <c r="K30" s="35"/>
      <c r="L30" s="35"/>
      <c r="M30" s="35"/>
      <c r="N30" s="35"/>
      <c r="O30" s="35"/>
      <c r="P30" s="35"/>
      <c r="Q30" s="7"/>
    </row>
    <row r="31" spans="1:25">
      <c r="A31" s="1854"/>
      <c r="B31" s="1855"/>
      <c r="C31" s="59">
        <v>2017</v>
      </c>
      <c r="D31" s="39">
        <v>60</v>
      </c>
      <c r="E31" s="38"/>
      <c r="F31" s="38"/>
      <c r="G31" s="58">
        <f t="shared" si="2"/>
        <v>60</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868</v>
      </c>
      <c r="E35" s="44">
        <f>SUM(E28:E34)</f>
        <v>0</v>
      </c>
      <c r="F35" s="44">
        <f>SUM(F28:F34)</f>
        <v>0</v>
      </c>
      <c r="G35" s="48">
        <f t="shared" si="2"/>
        <v>868</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t="s">
        <v>485</v>
      </c>
      <c r="B40" s="1855"/>
      <c r="C40" s="72">
        <v>2014</v>
      </c>
      <c r="D40" s="30"/>
      <c r="E40" s="29"/>
      <c r="F40" s="7"/>
      <c r="G40" s="35"/>
      <c r="H40" s="35"/>
    </row>
    <row r="41" spans="1:17">
      <c r="A41" s="1854"/>
      <c r="B41" s="1855"/>
      <c r="C41" s="73">
        <v>2015</v>
      </c>
      <c r="D41" s="74"/>
      <c r="E41" s="36"/>
      <c r="F41" s="7"/>
      <c r="G41" s="35"/>
      <c r="H41" s="35"/>
    </row>
    <row r="42" spans="1:17">
      <c r="A42" s="1854"/>
      <c r="B42" s="1855"/>
      <c r="C42" s="73">
        <v>2016</v>
      </c>
      <c r="D42" s="74">
        <v>358614</v>
      </c>
      <c r="E42" s="36"/>
      <c r="F42" s="7"/>
      <c r="G42" s="35"/>
      <c r="H42" s="35"/>
    </row>
    <row r="43" spans="1:17">
      <c r="A43" s="1854"/>
      <c r="B43" s="1855"/>
      <c r="C43" s="73">
        <v>2017</v>
      </c>
      <c r="D43" s="74">
        <v>36821</v>
      </c>
      <c r="E43" s="36"/>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395435</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27.1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486</v>
      </c>
      <c r="B62" s="1899"/>
      <c r="C62" s="106">
        <v>2014</v>
      </c>
      <c r="D62" s="107"/>
      <c r="E62" s="108"/>
      <c r="F62" s="109"/>
      <c r="G62" s="109"/>
      <c r="H62" s="109"/>
      <c r="I62" s="109"/>
      <c r="J62" s="109"/>
      <c r="K62" s="109"/>
      <c r="L62" s="34"/>
      <c r="M62" s="7"/>
      <c r="N62" s="7"/>
      <c r="O62" s="7"/>
    </row>
    <row r="63" spans="1:15">
      <c r="A63" s="1891"/>
      <c r="B63" s="1899"/>
      <c r="C63" s="110">
        <v>2015</v>
      </c>
      <c r="D63" s="111"/>
      <c r="E63" s="112"/>
      <c r="F63" s="38"/>
      <c r="G63" s="38"/>
      <c r="H63" s="38"/>
      <c r="I63" s="38"/>
      <c r="J63" s="38"/>
      <c r="K63" s="38"/>
      <c r="L63" s="88"/>
      <c r="M63" s="7"/>
      <c r="N63" s="7"/>
      <c r="O63" s="7"/>
    </row>
    <row r="64" spans="1:15">
      <c r="A64" s="1891"/>
      <c r="B64" s="1899"/>
      <c r="C64" s="110">
        <v>2016</v>
      </c>
      <c r="D64" s="111">
        <v>2</v>
      </c>
      <c r="E64" s="112"/>
      <c r="F64" s="38"/>
      <c r="G64" s="38"/>
      <c r="H64" s="38"/>
      <c r="I64" s="38"/>
      <c r="J64" s="38"/>
      <c r="K64" s="38"/>
      <c r="L64" s="88">
        <v>2</v>
      </c>
      <c r="M64" s="7"/>
      <c r="N64" s="7"/>
      <c r="O64" s="7"/>
    </row>
    <row r="65" spans="1:20">
      <c r="A65" s="1891"/>
      <c r="B65" s="1899"/>
      <c r="C65" s="110">
        <v>2017</v>
      </c>
      <c r="D65" s="111">
        <v>1</v>
      </c>
      <c r="E65" s="112">
        <v>1</v>
      </c>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3</v>
      </c>
      <c r="E69" s="115">
        <f>SUM(E62:E68)</f>
        <v>1</v>
      </c>
      <c r="F69" s="116">
        <f t="shared" ref="F69:I69" si="4">SUM(F62:F68)</f>
        <v>0</v>
      </c>
      <c r="G69" s="116">
        <f t="shared" si="4"/>
        <v>0</v>
      </c>
      <c r="H69" s="116">
        <f t="shared" si="4"/>
        <v>0</v>
      </c>
      <c r="I69" s="116">
        <f t="shared" si="4"/>
        <v>0</v>
      </c>
      <c r="J69" s="116"/>
      <c r="K69" s="116">
        <f>SUM(K62:K68)</f>
        <v>0</v>
      </c>
      <c r="L69" s="117">
        <f>SUM(L62:L68)</f>
        <v>2</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7.44999999999999"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t="s">
        <v>487</v>
      </c>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v>7</v>
      </c>
      <c r="E74" s="135">
        <v>1</v>
      </c>
      <c r="F74" s="135">
        <v>3</v>
      </c>
      <c r="G74" s="132">
        <f t="shared" si="5"/>
        <v>11</v>
      </c>
      <c r="H74" s="37">
        <v>5</v>
      </c>
      <c r="I74" s="37"/>
      <c r="J74" s="38"/>
      <c r="K74" s="38"/>
      <c r="L74" s="38"/>
      <c r="M74" s="38"/>
      <c r="N74" s="38"/>
      <c r="O74" s="88">
        <v>6</v>
      </c>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7</v>
      </c>
      <c r="E79" s="114">
        <f>SUM(E72:E78)</f>
        <v>1</v>
      </c>
      <c r="F79" s="114">
        <f>SUM(F72:F78)</f>
        <v>3</v>
      </c>
      <c r="G79" s="137">
        <f>SUM(G72:G78)</f>
        <v>11</v>
      </c>
      <c r="H79" s="138">
        <v>0</v>
      </c>
      <c r="I79" s="139">
        <f t="shared" ref="I79:O79" si="6">SUM(I72:I78)</f>
        <v>0</v>
      </c>
      <c r="J79" s="116">
        <f t="shared" si="6"/>
        <v>0</v>
      </c>
      <c r="K79" s="116">
        <f t="shared" si="6"/>
        <v>0</v>
      </c>
      <c r="L79" s="116">
        <f t="shared" si="6"/>
        <v>0</v>
      </c>
      <c r="M79" s="116">
        <f t="shared" si="6"/>
        <v>0</v>
      </c>
      <c r="N79" s="116">
        <f t="shared" si="6"/>
        <v>0</v>
      </c>
      <c r="O79" s="117">
        <f t="shared" si="6"/>
        <v>6</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12.9"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17.6"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21.1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39.1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488</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c r="E179" s="38"/>
      <c r="F179" s="38"/>
      <c r="G179" s="284">
        <f t="shared" ref="G179:G184" si="19">SUM(D179:F179)</f>
        <v>0</v>
      </c>
      <c r="H179" s="411"/>
      <c r="I179" s="112"/>
      <c r="J179" s="38"/>
      <c r="K179" s="38"/>
      <c r="L179" s="38"/>
      <c r="M179" s="38"/>
      <c r="N179" s="38"/>
      <c r="O179" s="88"/>
    </row>
    <row r="180" spans="1:15">
      <c r="A180" s="1891"/>
      <c r="B180" s="1899"/>
      <c r="C180" s="110">
        <v>2016</v>
      </c>
      <c r="D180" s="37">
        <v>19</v>
      </c>
      <c r="E180" s="38"/>
      <c r="F180" s="38"/>
      <c r="G180" s="284">
        <f t="shared" si="19"/>
        <v>19</v>
      </c>
      <c r="H180" s="411">
        <v>20</v>
      </c>
      <c r="I180" s="112">
        <v>7</v>
      </c>
      <c r="J180" s="38"/>
      <c r="K180" s="38"/>
      <c r="L180" s="38"/>
      <c r="M180" s="38"/>
      <c r="N180" s="38"/>
      <c r="O180" s="88">
        <v>12</v>
      </c>
    </row>
    <row r="181" spans="1:15">
      <c r="A181" s="1891"/>
      <c r="B181" s="1899"/>
      <c r="C181" s="110">
        <v>2017</v>
      </c>
      <c r="D181" s="37">
        <v>1</v>
      </c>
      <c r="E181" s="38">
        <v>1</v>
      </c>
      <c r="F181" s="38"/>
      <c r="G181" s="284">
        <f t="shared" si="19"/>
        <v>2</v>
      </c>
      <c r="H181" s="411">
        <v>2</v>
      </c>
      <c r="I181" s="112">
        <v>2</v>
      </c>
      <c r="J181" s="38"/>
      <c r="K181" s="38"/>
      <c r="L181" s="38"/>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35.450000000000003" customHeight="1" thickBot="1">
      <c r="A185" s="1893"/>
      <c r="B185" s="1900"/>
      <c r="C185" s="113" t="s">
        <v>13</v>
      </c>
      <c r="D185" s="139">
        <f>SUM(D178:D184)</f>
        <v>20</v>
      </c>
      <c r="E185" s="116">
        <f>SUM(E178:E184)</f>
        <v>1</v>
      </c>
      <c r="F185" s="116">
        <f>SUM(F178:F184)</f>
        <v>0</v>
      </c>
      <c r="G185" s="220">
        <f t="shared" ref="G185:O185" si="20">SUM(G178:G184)</f>
        <v>21</v>
      </c>
      <c r="H185" s="285">
        <f t="shared" si="20"/>
        <v>22</v>
      </c>
      <c r="I185" s="115">
        <f t="shared" si="20"/>
        <v>9</v>
      </c>
      <c r="J185" s="116">
        <f t="shared" si="20"/>
        <v>0</v>
      </c>
      <c r="K185" s="116">
        <f t="shared" si="20"/>
        <v>0</v>
      </c>
      <c r="L185" s="116">
        <f t="shared" si="20"/>
        <v>0</v>
      </c>
      <c r="M185" s="116">
        <f t="shared" si="20"/>
        <v>0</v>
      </c>
      <c r="N185" s="116">
        <f t="shared" si="20"/>
        <v>0</v>
      </c>
      <c r="O185" s="117">
        <f t="shared" si="20"/>
        <v>12</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624" t="s">
        <v>489</v>
      </c>
      <c r="B189" s="1977"/>
      <c r="C189" s="290">
        <v>2014</v>
      </c>
      <c r="D189" s="133"/>
      <c r="E189" s="109"/>
      <c r="F189" s="109"/>
      <c r="G189" s="291">
        <f>SUM(D189:F189)</f>
        <v>0</v>
      </c>
      <c r="H189" s="108"/>
      <c r="I189" s="109"/>
      <c r="J189" s="109"/>
      <c r="K189" s="109"/>
      <c r="L189" s="134"/>
    </row>
    <row r="190" spans="1:15">
      <c r="A190" s="1978"/>
      <c r="B190" s="1855"/>
      <c r="C190" s="73">
        <v>2015</v>
      </c>
      <c r="D190" s="37"/>
      <c r="E190" s="38"/>
      <c r="F190" s="38"/>
      <c r="G190" s="291">
        <f t="shared" ref="G190:G195" si="21">SUM(D190:F190)</f>
        <v>0</v>
      </c>
      <c r="H190" s="112"/>
      <c r="I190" s="38"/>
      <c r="J190" s="38"/>
      <c r="K190" s="38"/>
      <c r="L190" s="88"/>
    </row>
    <row r="191" spans="1:15">
      <c r="A191" s="1978"/>
      <c r="B191" s="1855"/>
      <c r="C191" s="73">
        <v>2016</v>
      </c>
      <c r="D191" s="37">
        <v>388</v>
      </c>
      <c r="E191" s="38"/>
      <c r="F191" s="38"/>
      <c r="G191" s="291">
        <f t="shared" si="21"/>
        <v>388</v>
      </c>
      <c r="H191" s="112"/>
      <c r="I191" s="38"/>
      <c r="J191" s="38">
        <v>100</v>
      </c>
      <c r="K191" s="38"/>
      <c r="L191" s="88">
        <v>288</v>
      </c>
    </row>
    <row r="192" spans="1:15">
      <c r="A192" s="1978"/>
      <c r="B192" s="1855"/>
      <c r="C192" s="73">
        <v>2017</v>
      </c>
      <c r="D192" s="37">
        <v>30</v>
      </c>
      <c r="E192" s="38">
        <v>30</v>
      </c>
      <c r="F192" s="38"/>
      <c r="G192" s="291">
        <f t="shared" si="21"/>
        <v>60</v>
      </c>
      <c r="H192" s="112"/>
      <c r="I192" s="38"/>
      <c r="J192" s="38">
        <v>20</v>
      </c>
      <c r="K192" s="38"/>
      <c r="L192" s="88">
        <v>40</v>
      </c>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63" customHeight="1" thickBot="1">
      <c r="A196" s="1979"/>
      <c r="B196" s="1857"/>
      <c r="C196" s="136" t="s">
        <v>13</v>
      </c>
      <c r="D196" s="139">
        <f t="shared" ref="D196:L196" si="22">SUM(D189:D195)</f>
        <v>418</v>
      </c>
      <c r="E196" s="116">
        <f t="shared" si="22"/>
        <v>30</v>
      </c>
      <c r="F196" s="116">
        <f t="shared" si="22"/>
        <v>0</v>
      </c>
      <c r="G196" s="292">
        <f t="shared" si="22"/>
        <v>448</v>
      </c>
      <c r="H196" s="115">
        <f t="shared" si="22"/>
        <v>0</v>
      </c>
      <c r="I196" s="116">
        <f t="shared" si="22"/>
        <v>0</v>
      </c>
      <c r="J196" s="116">
        <f t="shared" si="22"/>
        <v>120</v>
      </c>
      <c r="K196" s="116">
        <f t="shared" si="22"/>
        <v>0</v>
      </c>
      <c r="L196" s="117">
        <f t="shared" si="22"/>
        <v>328</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490</v>
      </c>
      <c r="C213" s="72"/>
      <c r="D213" s="135">
        <f>SUM(D214:D216)</f>
        <v>10208</v>
      </c>
      <c r="E213" s="135">
        <v>115139.68</v>
      </c>
      <c r="F213" s="135">
        <v>50328.41</v>
      </c>
      <c r="G213" s="135"/>
      <c r="H213" s="135"/>
      <c r="I213" s="326"/>
      <c r="J213">
        <f>SUM(D213:I213)</f>
        <v>175676.09</v>
      </c>
    </row>
    <row r="214" spans="1:12">
      <c r="A214" t="s">
        <v>164</v>
      </c>
      <c r="B214" s="1974"/>
      <c r="C214" s="72"/>
      <c r="D214" s="135">
        <v>750</v>
      </c>
      <c r="E214" s="135">
        <v>115139.68</v>
      </c>
      <c r="F214" s="135">
        <v>50328.41</v>
      </c>
      <c r="G214" s="135"/>
      <c r="H214" s="135"/>
      <c r="I214" s="326"/>
    </row>
    <row r="215" spans="1:12">
      <c r="A215" t="s">
        <v>165</v>
      </c>
      <c r="B215" s="1974"/>
      <c r="C215" s="72"/>
      <c r="D215" s="135"/>
      <c r="E215" s="135"/>
      <c r="F215" s="135"/>
      <c r="G215" s="135"/>
      <c r="H215" s="135"/>
      <c r="I215" s="326"/>
    </row>
    <row r="216" spans="1:12">
      <c r="A216" t="s">
        <v>166</v>
      </c>
      <c r="B216" s="1974"/>
      <c r="C216" s="72"/>
      <c r="D216" s="135">
        <v>9458</v>
      </c>
      <c r="E216" s="135"/>
      <c r="F216" s="135"/>
      <c r="G216" s="135"/>
      <c r="H216" s="135"/>
      <c r="I216" s="326"/>
    </row>
    <row r="217" spans="1:12">
      <c r="A217" t="s">
        <v>167</v>
      </c>
      <c r="B217" s="1974"/>
      <c r="C217" s="72"/>
      <c r="D217" s="135"/>
      <c r="E217" s="135"/>
      <c r="F217" s="135"/>
      <c r="G217" s="135"/>
      <c r="H217" s="135"/>
      <c r="I217" s="326"/>
    </row>
    <row r="218" spans="1:12" ht="30">
      <c r="A218" s="56" t="s">
        <v>168</v>
      </c>
      <c r="B218" s="1974"/>
      <c r="C218" s="72"/>
      <c r="D218" s="135">
        <v>98758.03</v>
      </c>
      <c r="E218" s="135">
        <v>114195.07</v>
      </c>
      <c r="F218" s="439">
        <v>93268.12</v>
      </c>
      <c r="G218" s="135"/>
      <c r="H218" s="135"/>
      <c r="I218" s="326"/>
    </row>
    <row r="219" spans="1:12" ht="50.25" customHeight="1" thickBot="1">
      <c r="A219" s="1532"/>
      <c r="B219" s="1975"/>
      <c r="C219" s="42" t="s">
        <v>13</v>
      </c>
      <c r="D219" s="333">
        <f>SUM(D214:D218)</f>
        <v>108966.03</v>
      </c>
      <c r="E219" s="333">
        <f t="shared" ref="E219:I219" si="24">SUM(E214:E218)</f>
        <v>229334.75</v>
      </c>
      <c r="F219" s="333">
        <f t="shared" si="24"/>
        <v>143596.53</v>
      </c>
      <c r="G219" s="333">
        <f t="shared" si="24"/>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6"/>
  <sheetViews>
    <sheetView topLeftCell="D10" zoomScale="80" zoomScaleNormal="80" workbookViewId="0">
      <selection activeCell="H18" sqref="H18:O18"/>
    </sheetView>
  </sheetViews>
  <sheetFormatPr defaultColWidth="8.85546875" defaultRowHeight="15"/>
  <cols>
    <col min="1" max="1" width="90.5703125" style="7"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467" t="s">
        <v>0</v>
      </c>
      <c r="B1" s="1943" t="s">
        <v>215</v>
      </c>
      <c r="C1" s="1944"/>
      <c r="D1" s="1944"/>
      <c r="E1" s="1944"/>
      <c r="F1" s="1944"/>
    </row>
    <row r="2" spans="1:25" s="1" customFormat="1" ht="20.100000000000001" customHeight="1" thickBot="1">
      <c r="A2" s="4"/>
    </row>
    <row r="3" spans="1:25" s="4" customFormat="1" ht="20.100000000000001" customHeight="1">
      <c r="A3" s="2" t="s">
        <v>2</v>
      </c>
      <c r="B3" s="3"/>
      <c r="C3" s="3"/>
      <c r="D3" s="3"/>
      <c r="E3" s="3"/>
      <c r="F3" s="1945"/>
      <c r="G3" s="1945"/>
      <c r="H3" s="1945"/>
      <c r="I3" s="1945"/>
      <c r="J3" s="1945"/>
      <c r="K3" s="1945"/>
      <c r="L3" s="1945"/>
      <c r="M3" s="1945"/>
      <c r="N3" s="1945"/>
      <c r="O3" s="1946"/>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c r="A11" s="4"/>
    </row>
    <row r="13" spans="1:25" ht="21">
      <c r="A13" s="468"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469"/>
      <c r="B15" s="9"/>
      <c r="C15" s="10"/>
      <c r="D15" s="1953" t="s">
        <v>5</v>
      </c>
      <c r="E15" s="1954"/>
      <c r="F15" s="1954"/>
      <c r="G15" s="1954"/>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998" t="s">
        <v>216</v>
      </c>
      <c r="B17" s="1998" t="s">
        <v>217</v>
      </c>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998"/>
      <c r="B18" s="1998"/>
      <c r="C18" s="36">
        <v>2015</v>
      </c>
      <c r="D18" s="37">
        <v>11</v>
      </c>
      <c r="E18" s="38"/>
      <c r="F18" s="38"/>
      <c r="G18" s="32">
        <f>SUM(D18:F18)</f>
        <v>11</v>
      </c>
      <c r="H18" s="39">
        <v>2</v>
      </c>
      <c r="I18" s="38">
        <v>3</v>
      </c>
      <c r="J18" s="38"/>
      <c r="K18" s="38">
        <v>1</v>
      </c>
      <c r="L18" s="38">
        <v>2</v>
      </c>
      <c r="M18" s="38">
        <v>2</v>
      </c>
      <c r="N18" s="38"/>
      <c r="O18" s="40">
        <v>1</v>
      </c>
      <c r="P18" s="35"/>
      <c r="Q18" s="35"/>
      <c r="R18" s="35"/>
      <c r="S18" s="35"/>
      <c r="T18" s="35"/>
      <c r="U18" s="35"/>
      <c r="V18" s="35"/>
      <c r="W18" s="35"/>
      <c r="X18" s="35"/>
      <c r="Y18" s="35"/>
    </row>
    <row r="19" spans="1:25">
      <c r="A19" s="1998"/>
      <c r="B19" s="1998"/>
      <c r="C19" s="36">
        <v>2016</v>
      </c>
      <c r="D19" s="37">
        <v>23</v>
      </c>
      <c r="E19" s="38"/>
      <c r="F19" s="38">
        <v>1</v>
      </c>
      <c r="G19" s="32">
        <f t="shared" si="0"/>
        <v>24</v>
      </c>
      <c r="H19" s="39"/>
      <c r="I19" s="38">
        <v>7</v>
      </c>
      <c r="J19" s="38"/>
      <c r="K19" s="38">
        <v>14</v>
      </c>
      <c r="L19" s="38"/>
      <c r="M19" s="38">
        <v>2</v>
      </c>
      <c r="N19" s="38"/>
      <c r="O19" s="40">
        <v>1</v>
      </c>
      <c r="P19" s="35"/>
      <c r="Q19" s="35"/>
      <c r="R19" s="35"/>
      <c r="S19" s="35"/>
      <c r="T19" s="35"/>
      <c r="U19" s="35"/>
      <c r="V19" s="35"/>
      <c r="W19" s="35"/>
      <c r="X19" s="35"/>
      <c r="Y19" s="35"/>
    </row>
    <row r="20" spans="1:25">
      <c r="A20" s="1998"/>
      <c r="B20" s="1998"/>
      <c r="C20" s="36">
        <v>2017</v>
      </c>
      <c r="D20" s="37">
        <v>22</v>
      </c>
      <c r="E20" s="38">
        <v>3</v>
      </c>
      <c r="F20" s="38">
        <v>2</v>
      </c>
      <c r="G20" s="32">
        <f t="shared" si="0"/>
        <v>27</v>
      </c>
      <c r="H20" s="39">
        <v>1</v>
      </c>
      <c r="I20" s="38">
        <v>12</v>
      </c>
      <c r="J20" s="38">
        <v>3</v>
      </c>
      <c r="K20" s="38">
        <v>7</v>
      </c>
      <c r="L20" s="38">
        <v>4</v>
      </c>
      <c r="M20" s="38"/>
      <c r="N20" s="38"/>
      <c r="O20" s="40"/>
      <c r="P20" s="35"/>
      <c r="Q20" s="35"/>
      <c r="R20" s="35"/>
      <c r="S20" s="35"/>
      <c r="T20" s="35"/>
      <c r="U20" s="35"/>
      <c r="V20" s="35"/>
      <c r="W20" s="35"/>
      <c r="X20" s="35"/>
      <c r="Y20" s="35"/>
    </row>
    <row r="21" spans="1:25">
      <c r="A21" s="1998"/>
      <c r="B21" s="1998"/>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998"/>
      <c r="B22" s="1998"/>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998"/>
      <c r="B23" s="1998"/>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38" customHeight="1" thickBot="1">
      <c r="A24" s="1999"/>
      <c r="B24" s="1999"/>
      <c r="C24" s="42" t="s">
        <v>13</v>
      </c>
      <c r="D24" s="43">
        <f>SUM(D17:D23)</f>
        <v>56</v>
      </c>
      <c r="E24" s="44">
        <f>SUM(E17:E23)</f>
        <v>3</v>
      </c>
      <c r="F24" s="44">
        <f>SUM(F17:F23)</f>
        <v>3</v>
      </c>
      <c r="G24" s="45">
        <f>SUM(D24:F24)</f>
        <v>62</v>
      </c>
      <c r="H24" s="46">
        <f>SUM(H17:H23)</f>
        <v>3</v>
      </c>
      <c r="I24" s="47">
        <f>SUM(I17:I23)</f>
        <v>22</v>
      </c>
      <c r="J24" s="47">
        <f t="shared" ref="J24:N24" si="1">SUM(J17:J23)</f>
        <v>3</v>
      </c>
      <c r="K24" s="47">
        <f t="shared" si="1"/>
        <v>22</v>
      </c>
      <c r="L24" s="47">
        <f t="shared" si="1"/>
        <v>6</v>
      </c>
      <c r="M24" s="47">
        <f t="shared" si="1"/>
        <v>4</v>
      </c>
      <c r="N24" s="47">
        <f t="shared" si="1"/>
        <v>0</v>
      </c>
      <c r="O24" s="48">
        <f>SUM(O17:O23)</f>
        <v>2</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469"/>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998" t="s">
        <v>218</v>
      </c>
      <c r="B28" s="1998" t="s">
        <v>219</v>
      </c>
      <c r="C28" s="57">
        <v>2014</v>
      </c>
      <c r="D28" s="33"/>
      <c r="E28" s="31"/>
      <c r="F28" s="31"/>
      <c r="G28" s="58">
        <f>SUM(D28:F28)</f>
        <v>0</v>
      </c>
      <c r="H28" s="35"/>
      <c r="I28" s="35"/>
      <c r="J28" s="35"/>
      <c r="K28" s="35"/>
      <c r="L28" s="35"/>
      <c r="M28" s="35"/>
      <c r="N28" s="35"/>
      <c r="O28" s="35"/>
      <c r="P28" s="35"/>
      <c r="Q28" s="7"/>
    </row>
    <row r="29" spans="1:25">
      <c r="A29" s="1998"/>
      <c r="B29" s="1998"/>
      <c r="C29" s="59">
        <v>2015</v>
      </c>
      <c r="D29" s="39">
        <v>1583</v>
      </c>
      <c r="E29" s="38"/>
      <c r="F29" s="38"/>
      <c r="G29" s="58">
        <f t="shared" ref="G29:G35" si="2">SUM(D29:F29)</f>
        <v>1583</v>
      </c>
      <c r="H29" s="35"/>
      <c r="I29" s="35"/>
      <c r="J29" s="35"/>
      <c r="K29" s="35"/>
      <c r="L29" s="35"/>
      <c r="M29" s="35"/>
      <c r="N29" s="35"/>
      <c r="O29" s="35"/>
      <c r="P29" s="35"/>
      <c r="Q29" s="7"/>
    </row>
    <row r="30" spans="1:25">
      <c r="A30" s="1998"/>
      <c r="B30" s="1998"/>
      <c r="C30" s="59">
        <v>2016</v>
      </c>
      <c r="D30" s="39">
        <v>4198</v>
      </c>
      <c r="E30" s="38"/>
      <c r="F30" s="38">
        <v>100</v>
      </c>
      <c r="G30" s="58">
        <f t="shared" si="2"/>
        <v>4298</v>
      </c>
      <c r="H30" s="35"/>
      <c r="I30" s="35"/>
      <c r="J30" s="35"/>
      <c r="K30" s="35"/>
      <c r="L30" s="35"/>
      <c r="M30" s="35"/>
      <c r="N30" s="35"/>
      <c r="O30" s="35"/>
      <c r="P30" s="35"/>
      <c r="Q30" s="7"/>
    </row>
    <row r="31" spans="1:25">
      <c r="A31" s="1998"/>
      <c r="B31" s="1998"/>
      <c r="C31" s="59">
        <v>2017</v>
      </c>
      <c r="D31" s="39">
        <v>2210</v>
      </c>
      <c r="E31" s="38">
        <v>72000</v>
      </c>
      <c r="F31" s="38">
        <v>53</v>
      </c>
      <c r="G31" s="58">
        <f t="shared" si="2"/>
        <v>74263</v>
      </c>
      <c r="H31" s="35"/>
      <c r="I31" s="35"/>
      <c r="J31" s="35"/>
      <c r="K31" s="35"/>
      <c r="L31" s="35"/>
      <c r="M31" s="35"/>
      <c r="N31" s="35"/>
      <c r="O31" s="35"/>
      <c r="P31" s="35"/>
      <c r="Q31" s="7"/>
    </row>
    <row r="32" spans="1:25">
      <c r="A32" s="1998"/>
      <c r="B32" s="1998"/>
      <c r="C32" s="59">
        <v>2018</v>
      </c>
      <c r="D32" s="39"/>
      <c r="E32" s="38"/>
      <c r="F32" s="38"/>
      <c r="G32" s="58">
        <f>SUM(D32:F32)</f>
        <v>0</v>
      </c>
      <c r="H32" s="35"/>
      <c r="I32" s="35"/>
      <c r="J32" s="35"/>
      <c r="K32" s="35"/>
      <c r="L32" s="35"/>
      <c r="M32" s="35"/>
      <c r="N32" s="35"/>
      <c r="O32" s="35"/>
      <c r="P32" s="35"/>
      <c r="Q32" s="7"/>
    </row>
    <row r="33" spans="1:17">
      <c r="A33" s="1998"/>
      <c r="B33" s="1998"/>
      <c r="C33" s="60">
        <v>2019</v>
      </c>
      <c r="D33" s="39"/>
      <c r="E33" s="38"/>
      <c r="F33" s="38"/>
      <c r="G33" s="58">
        <f t="shared" si="2"/>
        <v>0</v>
      </c>
      <c r="H33" s="35"/>
      <c r="I33" s="35"/>
      <c r="J33" s="35"/>
      <c r="K33" s="35"/>
      <c r="L33" s="35"/>
      <c r="M33" s="35"/>
      <c r="N33" s="35"/>
      <c r="O33" s="35"/>
      <c r="P33" s="35"/>
      <c r="Q33" s="7"/>
    </row>
    <row r="34" spans="1:17">
      <c r="A34" s="1998"/>
      <c r="B34" s="1998"/>
      <c r="C34" s="59">
        <v>2020</v>
      </c>
      <c r="D34" s="39"/>
      <c r="E34" s="38"/>
      <c r="F34" s="38"/>
      <c r="G34" s="58">
        <f t="shared" si="2"/>
        <v>0</v>
      </c>
      <c r="H34" s="35"/>
      <c r="I34" s="35"/>
      <c r="J34" s="35"/>
      <c r="K34" s="35"/>
      <c r="L34" s="35"/>
      <c r="M34" s="35"/>
      <c r="N34" s="35"/>
      <c r="O34" s="35"/>
      <c r="P34" s="35"/>
      <c r="Q34" s="7"/>
    </row>
    <row r="35" spans="1:17" ht="141.75" customHeight="1" thickBot="1">
      <c r="A35" s="1999"/>
      <c r="B35" s="1999"/>
      <c r="C35" s="61" t="s">
        <v>13</v>
      </c>
      <c r="D35" s="46">
        <f>SUM(D28:D34)</f>
        <v>7991</v>
      </c>
      <c r="E35" s="44">
        <f>SUM(E28:E34)</f>
        <v>72000</v>
      </c>
      <c r="F35" s="44">
        <f>SUM(F28:F34)</f>
        <v>153</v>
      </c>
      <c r="G35" s="48">
        <f t="shared" si="2"/>
        <v>80144</v>
      </c>
      <c r="H35" s="35"/>
      <c r="I35" s="35"/>
      <c r="J35" s="35"/>
      <c r="K35" s="35"/>
      <c r="L35" s="35"/>
      <c r="M35" s="35"/>
      <c r="N35" s="35"/>
      <c r="O35" s="35"/>
      <c r="P35" s="35"/>
      <c r="Q35" s="7"/>
    </row>
    <row r="36" spans="1:17">
      <c r="A36" s="445"/>
      <c r="B36" s="62"/>
      <c r="C36" s="49"/>
      <c r="H36" s="7"/>
      <c r="I36" s="7"/>
      <c r="J36" s="7"/>
      <c r="K36" s="7"/>
      <c r="L36" s="7"/>
      <c r="M36" s="7"/>
      <c r="N36" s="7"/>
      <c r="O36" s="7"/>
      <c r="P36" s="7"/>
      <c r="Q36" s="7"/>
    </row>
    <row r="37" spans="1:17" ht="21" customHeight="1">
      <c r="A37" s="470" t="s">
        <v>25</v>
      </c>
      <c r="B37" s="63"/>
      <c r="C37" s="64"/>
      <c r="D37" s="64"/>
      <c r="E37" s="64"/>
      <c r="F37" s="35"/>
      <c r="G37" s="35"/>
      <c r="H37" s="35"/>
      <c r="I37" s="65"/>
      <c r="J37" s="65"/>
      <c r="K37" s="65"/>
    </row>
    <row r="38" spans="1:17" ht="12.75" customHeight="1" thickBot="1">
      <c r="G38" s="35"/>
      <c r="H38" s="35"/>
    </row>
    <row r="39" spans="1:17" ht="88.5" customHeight="1">
      <c r="A39" s="471" t="s">
        <v>26</v>
      </c>
      <c r="B39" s="372" t="s">
        <v>171</v>
      </c>
      <c r="C39" s="68" t="s">
        <v>9</v>
      </c>
      <c r="D39" s="69" t="s">
        <v>28</v>
      </c>
      <c r="E39" s="70" t="s">
        <v>29</v>
      </c>
      <c r="F39" s="71"/>
      <c r="G39" s="28"/>
      <c r="H39" s="28"/>
    </row>
    <row r="40" spans="1:17">
      <c r="A40" s="2000"/>
      <c r="B40" s="2000" t="s">
        <v>220</v>
      </c>
      <c r="C40" s="72">
        <v>2014</v>
      </c>
      <c r="D40" s="30"/>
      <c r="E40" s="29"/>
      <c r="F40" s="7"/>
      <c r="G40" s="35"/>
      <c r="H40" s="35"/>
    </row>
    <row r="41" spans="1:17">
      <c r="A41" s="2000"/>
      <c r="B41" s="2000"/>
      <c r="C41" s="73">
        <v>2015</v>
      </c>
      <c r="D41" s="37">
        <v>33846</v>
      </c>
      <c r="E41" s="36">
        <v>8682</v>
      </c>
      <c r="F41" s="7"/>
      <c r="G41" s="35"/>
      <c r="H41" s="35"/>
    </row>
    <row r="42" spans="1:17">
      <c r="A42" s="2000"/>
      <c r="B42" s="2000"/>
      <c r="C42" s="73">
        <v>2016</v>
      </c>
      <c r="D42" s="37">
        <f>50289+13282</f>
        <v>63571</v>
      </c>
      <c r="E42" s="36">
        <f>19000+8297</f>
        <v>27297</v>
      </c>
      <c r="F42" s="7"/>
      <c r="G42" s="35"/>
      <c r="H42" s="35"/>
    </row>
    <row r="43" spans="1:17">
      <c r="A43" s="2000"/>
      <c r="B43" s="2000"/>
      <c r="C43" s="73">
        <v>2017</v>
      </c>
      <c r="D43" s="37">
        <v>10869</v>
      </c>
      <c r="E43" s="36">
        <v>6393</v>
      </c>
      <c r="F43" s="7"/>
      <c r="G43" s="35"/>
      <c r="H43" s="35"/>
    </row>
    <row r="44" spans="1:17">
      <c r="A44" s="2000"/>
      <c r="B44" s="2000"/>
      <c r="C44" s="73">
        <v>2018</v>
      </c>
      <c r="D44" s="37"/>
      <c r="E44" s="36"/>
      <c r="F44" s="7"/>
      <c r="G44" s="35"/>
      <c r="H44" s="35"/>
    </row>
    <row r="45" spans="1:17">
      <c r="A45" s="2000"/>
      <c r="B45" s="2000"/>
      <c r="C45" s="73">
        <v>2019</v>
      </c>
      <c r="D45" s="37"/>
      <c r="E45" s="36"/>
      <c r="F45" s="7"/>
      <c r="G45" s="35"/>
      <c r="H45" s="35"/>
    </row>
    <row r="46" spans="1:17">
      <c r="A46" s="2000"/>
      <c r="B46" s="2000"/>
      <c r="C46" s="73">
        <v>2020</v>
      </c>
      <c r="D46" s="37"/>
      <c r="E46" s="36"/>
      <c r="F46" s="7"/>
      <c r="G46" s="35"/>
      <c r="H46" s="35"/>
    </row>
    <row r="47" spans="1:17" ht="42.75" customHeight="1" thickBot="1">
      <c r="A47" s="2001"/>
      <c r="B47" s="2001"/>
      <c r="C47" s="42" t="s">
        <v>13</v>
      </c>
      <c r="D47" s="43">
        <f>SUM(D40:D46)</f>
        <v>108286</v>
      </c>
      <c r="E47" s="455">
        <f>SUM(E40:E46)</f>
        <v>42372</v>
      </c>
      <c r="F47" s="78"/>
      <c r="G47" s="35"/>
      <c r="H47" s="35"/>
    </row>
    <row r="48" spans="1:17" s="35" customFormat="1" ht="15.75" thickBot="1">
      <c r="A48" s="79"/>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t="s">
        <v>221</v>
      </c>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v>1</v>
      </c>
      <c r="E52" s="38"/>
      <c r="F52" s="38"/>
      <c r="G52" s="38">
        <v>1883</v>
      </c>
      <c r="H52" s="38"/>
      <c r="I52" s="38"/>
      <c r="J52" s="38">
        <v>49</v>
      </c>
      <c r="K52" s="88">
        <v>1000</v>
      </c>
    </row>
    <row r="53" spans="1:15">
      <c r="A53" s="1874"/>
      <c r="B53" s="1881"/>
      <c r="C53" s="73">
        <v>2016</v>
      </c>
      <c r="D53" s="37">
        <v>1</v>
      </c>
      <c r="E53" s="38"/>
      <c r="F53" s="38"/>
      <c r="G53" s="38">
        <v>1928</v>
      </c>
      <c r="H53" s="38"/>
      <c r="I53" s="38"/>
      <c r="J53" s="38">
        <v>113</v>
      </c>
      <c r="K53" s="88">
        <v>1981</v>
      </c>
    </row>
    <row r="54" spans="1:15">
      <c r="A54" s="1874"/>
      <c r="B54" s="1881"/>
      <c r="C54" s="73">
        <v>2017</v>
      </c>
      <c r="D54" s="37">
        <v>1</v>
      </c>
      <c r="E54" s="38"/>
      <c r="F54" s="38"/>
      <c r="G54" s="38">
        <v>1980</v>
      </c>
      <c r="H54" s="38"/>
      <c r="I54" s="38"/>
      <c r="J54" s="38">
        <v>82</v>
      </c>
      <c r="K54" s="88">
        <v>20513</v>
      </c>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3</v>
      </c>
      <c r="E58" s="44">
        <f>SUM(E51:E57)</f>
        <v>0</v>
      </c>
      <c r="F58" s="44">
        <f>SUM(F51:F57)</f>
        <v>0</v>
      </c>
      <c r="G58" s="44">
        <f>SUM(G51:G57)</f>
        <v>5791</v>
      </c>
      <c r="H58" s="44">
        <f>SUM(H51:H57)</f>
        <v>0</v>
      </c>
      <c r="I58" s="44">
        <f t="shared" ref="I58" si="3">SUM(I51:I57)</f>
        <v>0</v>
      </c>
      <c r="J58" s="44">
        <f>SUM(J51:J57)</f>
        <v>244</v>
      </c>
      <c r="K58" s="48">
        <f>SUM(K50:K56)</f>
        <v>23494</v>
      </c>
    </row>
    <row r="59" spans="1:15" ht="15.75" thickBot="1"/>
    <row r="60" spans="1:15" ht="21" customHeight="1">
      <c r="A60" s="1969" t="s">
        <v>44</v>
      </c>
      <c r="B60" s="95"/>
      <c r="C60" s="1971" t="s">
        <v>9</v>
      </c>
      <c r="D60" s="1941" t="s">
        <v>45</v>
      </c>
      <c r="E60" s="96" t="s">
        <v>6</v>
      </c>
      <c r="F60" s="97"/>
      <c r="G60" s="97"/>
      <c r="H60" s="97"/>
      <c r="I60" s="97"/>
      <c r="J60" s="97"/>
      <c r="K60" s="97"/>
      <c r="L60" s="98"/>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222</v>
      </c>
      <c r="B62" s="1899"/>
      <c r="C62" s="106">
        <v>2014</v>
      </c>
      <c r="D62" s="107"/>
      <c r="E62" s="108"/>
      <c r="F62" s="109"/>
      <c r="G62" s="109"/>
      <c r="H62" s="109"/>
      <c r="I62" s="109"/>
      <c r="J62" s="109"/>
      <c r="K62" s="109"/>
      <c r="L62" s="34"/>
      <c r="M62" s="7"/>
      <c r="N62" s="7"/>
      <c r="O62" s="7"/>
    </row>
    <row r="63" spans="1:15">
      <c r="A63" s="1891"/>
      <c r="B63" s="1899"/>
      <c r="C63" s="110">
        <v>2015</v>
      </c>
      <c r="D63" s="111">
        <v>3</v>
      </c>
      <c r="E63" s="112"/>
      <c r="F63" s="38">
        <v>1</v>
      </c>
      <c r="G63" s="38"/>
      <c r="H63" s="38">
        <v>1</v>
      </c>
      <c r="I63" s="38"/>
      <c r="J63" s="38">
        <v>1</v>
      </c>
      <c r="K63" s="38"/>
      <c r="L63" s="88"/>
      <c r="M63" s="7"/>
      <c r="N63" s="7"/>
      <c r="O63" s="7"/>
    </row>
    <row r="64" spans="1:15">
      <c r="A64" s="1891"/>
      <c r="B64" s="1899"/>
      <c r="C64" s="110">
        <v>2016</v>
      </c>
      <c r="D64" s="111">
        <v>109</v>
      </c>
      <c r="E64" s="112"/>
      <c r="F64" s="38"/>
      <c r="G64" s="38"/>
      <c r="H64" s="38">
        <v>4</v>
      </c>
      <c r="I64" s="38"/>
      <c r="J64" s="38"/>
      <c r="K64" s="38"/>
      <c r="L64" s="88">
        <v>105</v>
      </c>
      <c r="M64" s="7"/>
      <c r="N64" s="7"/>
      <c r="O64" s="7"/>
    </row>
    <row r="65" spans="1:20">
      <c r="A65" s="1891"/>
      <c r="B65" s="1899"/>
      <c r="C65" s="110">
        <v>2017</v>
      </c>
      <c r="D65" s="111">
        <v>28</v>
      </c>
      <c r="E65" s="112">
        <v>2</v>
      </c>
      <c r="F65" s="38">
        <v>1</v>
      </c>
      <c r="G65" s="38"/>
      <c r="H65" s="38"/>
      <c r="I65" s="38"/>
      <c r="J65" s="38"/>
      <c r="K65" s="38"/>
      <c r="L65" s="88">
        <v>25</v>
      </c>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140</v>
      </c>
      <c r="E69" s="115">
        <f>SUM(E62:E68)</f>
        <v>2</v>
      </c>
      <c r="F69" s="116">
        <f t="shared" ref="F69:I69" si="4">SUM(F62:F68)</f>
        <v>2</v>
      </c>
      <c r="G69" s="116">
        <f t="shared" si="4"/>
        <v>0</v>
      </c>
      <c r="H69" s="116">
        <f t="shared" si="4"/>
        <v>5</v>
      </c>
      <c r="I69" s="116">
        <f t="shared" si="4"/>
        <v>0</v>
      </c>
      <c r="J69" s="116"/>
      <c r="K69" s="116">
        <f>SUM(K62:K68)</f>
        <v>0</v>
      </c>
      <c r="L69" s="117">
        <f>SUM(L62:L68)</f>
        <v>130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471"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998" t="s">
        <v>223</v>
      </c>
      <c r="B72" s="1998" t="s">
        <v>224</v>
      </c>
      <c r="C72" s="72">
        <v>2014</v>
      </c>
      <c r="D72" s="131"/>
      <c r="E72" s="131"/>
      <c r="F72" s="131"/>
      <c r="G72" s="132">
        <f>SUM(D72:F72)</f>
        <v>0</v>
      </c>
      <c r="H72" s="30"/>
      <c r="I72" s="133"/>
      <c r="J72" s="109"/>
      <c r="K72" s="109"/>
      <c r="L72" s="109"/>
      <c r="M72" s="109"/>
      <c r="N72" s="109"/>
      <c r="O72" s="134"/>
    </row>
    <row r="73" spans="1:20">
      <c r="A73" s="1998"/>
      <c r="B73" s="1998"/>
      <c r="C73" s="73">
        <v>2015</v>
      </c>
      <c r="D73" s="135"/>
      <c r="E73" s="135"/>
      <c r="F73" s="135"/>
      <c r="G73" s="132">
        <f t="shared" ref="G73:G78" si="5">SUM(D73:F73)</f>
        <v>0</v>
      </c>
      <c r="H73" s="37"/>
      <c r="I73" s="37"/>
      <c r="J73" s="38"/>
      <c r="K73" s="38"/>
      <c r="L73" s="38"/>
      <c r="M73" s="38"/>
      <c r="N73" s="38"/>
      <c r="O73" s="88"/>
    </row>
    <row r="74" spans="1:20">
      <c r="A74" s="1998"/>
      <c r="B74" s="1998"/>
      <c r="C74" s="73">
        <v>2016</v>
      </c>
      <c r="D74" s="135"/>
      <c r="E74" s="472"/>
      <c r="F74" s="135"/>
      <c r="G74" s="132">
        <f t="shared" si="5"/>
        <v>0</v>
      </c>
      <c r="H74" s="37"/>
      <c r="I74" s="37"/>
      <c r="J74" s="38"/>
      <c r="K74" s="38"/>
      <c r="L74" s="38"/>
      <c r="M74" s="38"/>
      <c r="N74" s="38"/>
      <c r="O74" s="88"/>
    </row>
    <row r="75" spans="1:20">
      <c r="A75" s="1998"/>
      <c r="B75" s="1998"/>
      <c r="C75" s="73">
        <v>2017</v>
      </c>
      <c r="D75" s="135">
        <v>4</v>
      </c>
      <c r="E75" s="135"/>
      <c r="F75" s="135"/>
      <c r="G75" s="132">
        <f t="shared" si="5"/>
        <v>4</v>
      </c>
      <c r="H75" s="37"/>
      <c r="I75" s="37"/>
      <c r="J75" s="38"/>
      <c r="K75" s="38">
        <v>4</v>
      </c>
      <c r="L75" s="38"/>
      <c r="M75" s="38"/>
      <c r="N75" s="38"/>
      <c r="O75" s="88"/>
    </row>
    <row r="76" spans="1:20">
      <c r="A76" s="1998"/>
      <c r="B76" s="1998"/>
      <c r="C76" s="73">
        <v>2018</v>
      </c>
      <c r="D76" s="135"/>
      <c r="E76" s="135"/>
      <c r="F76" s="135"/>
      <c r="G76" s="132">
        <f t="shared" si="5"/>
        <v>0</v>
      </c>
      <c r="H76" s="37"/>
      <c r="I76" s="37"/>
      <c r="J76" s="38"/>
      <c r="K76" s="38"/>
      <c r="L76" s="38"/>
      <c r="M76" s="38"/>
      <c r="N76" s="38"/>
      <c r="O76" s="88"/>
    </row>
    <row r="77" spans="1:20" ht="15.75" customHeight="1">
      <c r="A77" s="1998"/>
      <c r="B77" s="1998"/>
      <c r="C77" s="73">
        <v>2019</v>
      </c>
      <c r="D77" s="135"/>
      <c r="E77" s="135"/>
      <c r="F77" s="135"/>
      <c r="G77" s="132">
        <f t="shared" si="5"/>
        <v>0</v>
      </c>
      <c r="H77" s="37"/>
      <c r="I77" s="37"/>
      <c r="J77" s="38"/>
      <c r="K77" s="38"/>
      <c r="L77" s="38"/>
      <c r="M77" s="38"/>
      <c r="N77" s="38"/>
      <c r="O77" s="88"/>
    </row>
    <row r="78" spans="1:20" ht="17.25" customHeight="1">
      <c r="A78" s="1998"/>
      <c r="B78" s="1998"/>
      <c r="C78" s="73">
        <v>2020</v>
      </c>
      <c r="D78" s="135"/>
      <c r="E78" s="135"/>
      <c r="F78" s="135"/>
      <c r="G78" s="132">
        <f t="shared" si="5"/>
        <v>0</v>
      </c>
      <c r="H78" s="37"/>
      <c r="I78" s="37"/>
      <c r="J78" s="38"/>
      <c r="K78" s="38"/>
      <c r="L78" s="38"/>
      <c r="M78" s="38"/>
      <c r="N78" s="38"/>
      <c r="O78" s="88"/>
    </row>
    <row r="79" spans="1:20" ht="20.25" customHeight="1" thickBot="1">
      <c r="A79" s="1999"/>
      <c r="B79" s="1999"/>
      <c r="C79" s="136" t="s">
        <v>13</v>
      </c>
      <c r="D79" s="114">
        <f>SUM(D72:D78)</f>
        <v>4</v>
      </c>
      <c r="E79" s="114">
        <f>SUM(E72:E78)</f>
        <v>0</v>
      </c>
      <c r="F79" s="114">
        <f>SUM(F72:F78)</f>
        <v>0</v>
      </c>
      <c r="G79" s="137">
        <f>SUM(G72:G78)</f>
        <v>4</v>
      </c>
      <c r="H79" s="138">
        <v>0</v>
      </c>
      <c r="I79" s="139">
        <f t="shared" ref="I79:O79" si="6">SUM(I72:I78)</f>
        <v>0</v>
      </c>
      <c r="J79" s="116">
        <f t="shared" si="6"/>
        <v>0</v>
      </c>
      <c r="K79" s="116">
        <f t="shared" si="6"/>
        <v>4</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473" t="s">
        <v>55</v>
      </c>
      <c r="B82" s="143"/>
      <c r="C82" s="144"/>
      <c r="D82" s="144"/>
      <c r="E82" s="144"/>
      <c r="F82" s="144"/>
      <c r="G82" s="144"/>
      <c r="H82" s="144"/>
      <c r="I82" s="144"/>
      <c r="J82" s="144"/>
      <c r="K82" s="144"/>
      <c r="L82" s="145"/>
    </row>
    <row r="83" spans="1:16" ht="14.25" customHeight="1" thickBot="1">
      <c r="A83" s="474"/>
      <c r="B83" s="146"/>
    </row>
    <row r="84" spans="1:16" s="56" customFormat="1" ht="128.25" customHeight="1">
      <c r="A84" s="475" t="s">
        <v>56</v>
      </c>
      <c r="B84" s="394" t="s">
        <v>178</v>
      </c>
      <c r="C84" s="149" t="s">
        <v>9</v>
      </c>
      <c r="D84" s="150" t="s">
        <v>58</v>
      </c>
      <c r="E84" s="151" t="s">
        <v>59</v>
      </c>
      <c r="F84" s="152" t="s">
        <v>60</v>
      </c>
      <c r="G84" s="152" t="s">
        <v>61</v>
      </c>
      <c r="H84" s="152" t="s">
        <v>62</v>
      </c>
      <c r="I84" s="152" t="s">
        <v>63</v>
      </c>
      <c r="J84" s="152" t="s">
        <v>64</v>
      </c>
      <c r="K84" s="153" t="s">
        <v>65</v>
      </c>
    </row>
    <row r="85" spans="1:16" ht="15" customHeight="1">
      <c r="A85" s="1938"/>
      <c r="B85" s="1987"/>
      <c r="C85" s="72">
        <v>2014</v>
      </c>
      <c r="D85" s="154"/>
      <c r="E85" s="155"/>
      <c r="F85" s="31"/>
      <c r="G85" s="31"/>
      <c r="H85" s="31"/>
      <c r="I85" s="31"/>
      <c r="J85" s="31"/>
      <c r="K85" s="34"/>
    </row>
    <row r="86" spans="1:16">
      <c r="A86" s="1988"/>
      <c r="B86" s="1987"/>
      <c r="C86" s="73">
        <v>2015</v>
      </c>
      <c r="D86" s="156"/>
      <c r="E86" s="112"/>
      <c r="F86" s="38"/>
      <c r="G86" s="38"/>
      <c r="H86" s="38"/>
      <c r="I86" s="38"/>
      <c r="J86" s="38"/>
      <c r="K86" s="88"/>
    </row>
    <row r="87" spans="1:16">
      <c r="A87" s="1988"/>
      <c r="B87" s="1987"/>
      <c r="C87" s="73">
        <v>2016</v>
      </c>
      <c r="D87" s="156"/>
      <c r="E87" s="112"/>
      <c r="F87" s="38"/>
      <c r="G87" s="38"/>
      <c r="H87" s="38"/>
      <c r="I87" s="38"/>
      <c r="J87" s="38"/>
      <c r="K87" s="88"/>
    </row>
    <row r="88" spans="1:16">
      <c r="A88" s="1988"/>
      <c r="B88" s="1987"/>
      <c r="C88" s="73">
        <v>2017</v>
      </c>
      <c r="D88" s="156"/>
      <c r="E88" s="112"/>
      <c r="F88" s="38"/>
      <c r="G88" s="38"/>
      <c r="H88" s="38"/>
      <c r="I88" s="38"/>
      <c r="J88" s="38"/>
      <c r="K88" s="88"/>
    </row>
    <row r="89" spans="1:16">
      <c r="A89" s="1988"/>
      <c r="B89" s="1987"/>
      <c r="C89" s="73">
        <v>2018</v>
      </c>
      <c r="D89" s="156"/>
      <c r="E89" s="112"/>
      <c r="F89" s="38"/>
      <c r="G89" s="38"/>
      <c r="H89" s="38"/>
      <c r="I89" s="38"/>
      <c r="J89" s="38"/>
      <c r="K89" s="88"/>
    </row>
    <row r="90" spans="1:16">
      <c r="A90" s="1988"/>
      <c r="B90" s="1987"/>
      <c r="C90" s="73">
        <v>2019</v>
      </c>
      <c r="D90" s="156"/>
      <c r="E90" s="112"/>
      <c r="F90" s="38"/>
      <c r="G90" s="38"/>
      <c r="H90" s="38"/>
      <c r="I90" s="38"/>
      <c r="J90" s="38"/>
      <c r="K90" s="88"/>
    </row>
    <row r="91" spans="1:16">
      <c r="A91" s="1988"/>
      <c r="B91" s="1987"/>
      <c r="C91" s="73">
        <v>2020</v>
      </c>
      <c r="D91" s="156"/>
      <c r="E91" s="112"/>
      <c r="F91" s="38"/>
      <c r="G91" s="38"/>
      <c r="H91" s="38"/>
      <c r="I91" s="38"/>
      <c r="J91" s="38"/>
      <c r="K91" s="88"/>
    </row>
    <row r="92" spans="1:16" ht="18" customHeight="1" thickBot="1">
      <c r="A92" s="1989"/>
      <c r="B92" s="199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476" t="s">
        <v>67</v>
      </c>
      <c r="B94" s="158"/>
      <c r="C94" s="159"/>
      <c r="D94" s="159"/>
      <c r="E94" s="159"/>
      <c r="F94" s="159"/>
      <c r="G94" s="159"/>
      <c r="H94" s="159"/>
      <c r="I94" s="159"/>
      <c r="J94" s="159"/>
      <c r="K94" s="159"/>
      <c r="L94" s="159"/>
      <c r="M94" s="159"/>
      <c r="N94" s="160"/>
      <c r="O94" s="160"/>
      <c r="P94" s="160"/>
    </row>
    <row r="95" spans="1:16" s="65" customFormat="1" ht="15" customHeight="1" thickBot="1">
      <c r="A95" s="477"/>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95"/>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225</v>
      </c>
      <c r="B98" s="1987"/>
      <c r="C98" s="106">
        <v>2014</v>
      </c>
      <c r="D98" s="30"/>
      <c r="E98" s="31"/>
      <c r="F98" s="174"/>
      <c r="G98" s="175"/>
      <c r="H98" s="175"/>
      <c r="I98" s="175"/>
      <c r="J98" s="175"/>
      <c r="K98" s="175"/>
      <c r="L98" s="175"/>
      <c r="M98" s="176"/>
      <c r="N98" s="165"/>
      <c r="O98" s="165"/>
      <c r="P98" s="165"/>
    </row>
    <row r="99" spans="1:16" ht="16.5" customHeight="1">
      <c r="A99" s="1988"/>
      <c r="B99" s="1987"/>
      <c r="C99" s="110">
        <v>2015</v>
      </c>
      <c r="D99" s="37">
        <v>1</v>
      </c>
      <c r="E99" s="38">
        <v>1</v>
      </c>
      <c r="F99" s="177"/>
      <c r="G99" s="178"/>
      <c r="H99" s="178"/>
      <c r="I99" s="178"/>
      <c r="J99" s="178"/>
      <c r="K99" s="178"/>
      <c r="L99" s="178"/>
      <c r="M99" s="179">
        <v>1</v>
      </c>
      <c r="N99" s="165"/>
      <c r="O99" s="165"/>
      <c r="P99" s="165"/>
    </row>
    <row r="100" spans="1:16" ht="16.5" customHeight="1">
      <c r="A100" s="1988"/>
      <c r="B100" s="1987"/>
      <c r="C100" s="110">
        <v>2016</v>
      </c>
      <c r="D100" s="37">
        <v>1</v>
      </c>
      <c r="E100" s="38">
        <v>3</v>
      </c>
      <c r="F100" s="177"/>
      <c r="G100" s="178"/>
      <c r="H100" s="178"/>
      <c r="I100" s="178"/>
      <c r="J100" s="178"/>
      <c r="K100" s="178"/>
      <c r="L100" s="178"/>
      <c r="M100" s="179">
        <v>1</v>
      </c>
      <c r="N100" s="165"/>
      <c r="O100" s="165"/>
      <c r="P100" s="165"/>
    </row>
    <row r="101" spans="1:16" ht="16.5" customHeight="1">
      <c r="A101" s="1988"/>
      <c r="B101" s="1987"/>
      <c r="C101" s="110">
        <v>2017</v>
      </c>
      <c r="D101" s="37">
        <v>1</v>
      </c>
      <c r="E101" s="38">
        <v>7</v>
      </c>
      <c r="F101" s="177"/>
      <c r="G101" s="178"/>
      <c r="H101" s="178"/>
      <c r="I101" s="178"/>
      <c r="J101" s="178"/>
      <c r="K101" s="178"/>
      <c r="L101" s="178"/>
      <c r="M101" s="179">
        <v>1</v>
      </c>
      <c r="N101" s="165"/>
      <c r="O101" s="165"/>
      <c r="P101" s="165"/>
    </row>
    <row r="102" spans="1:16" ht="15.75" customHeight="1">
      <c r="A102" s="1988"/>
      <c r="B102" s="1987"/>
      <c r="C102" s="110">
        <v>2018</v>
      </c>
      <c r="D102" s="37"/>
      <c r="E102" s="38"/>
      <c r="F102" s="177"/>
      <c r="G102" s="178"/>
      <c r="H102" s="178"/>
      <c r="I102" s="178"/>
      <c r="J102" s="178"/>
      <c r="K102" s="178"/>
      <c r="L102" s="178"/>
      <c r="M102" s="179"/>
      <c r="N102" s="165"/>
      <c r="O102" s="165"/>
      <c r="P102" s="165"/>
    </row>
    <row r="103" spans="1:16" ht="14.25" customHeight="1">
      <c r="A103" s="1988"/>
      <c r="B103" s="1987"/>
      <c r="C103" s="110">
        <v>2019</v>
      </c>
      <c r="D103" s="37"/>
      <c r="E103" s="38"/>
      <c r="F103" s="177"/>
      <c r="G103" s="178"/>
      <c r="H103" s="178"/>
      <c r="I103" s="178"/>
      <c r="J103" s="178"/>
      <c r="K103" s="178"/>
      <c r="L103" s="178"/>
      <c r="M103" s="179"/>
      <c r="N103" s="165"/>
      <c r="O103" s="165"/>
      <c r="P103" s="165"/>
    </row>
    <row r="104" spans="1:16" ht="14.25" customHeight="1">
      <c r="A104" s="1988"/>
      <c r="B104" s="1987"/>
      <c r="C104" s="110">
        <v>2020</v>
      </c>
      <c r="D104" s="37"/>
      <c r="E104" s="38"/>
      <c r="F104" s="177"/>
      <c r="G104" s="178"/>
      <c r="H104" s="178"/>
      <c r="I104" s="178"/>
      <c r="J104" s="178"/>
      <c r="K104" s="178"/>
      <c r="L104" s="178"/>
      <c r="M104" s="179"/>
      <c r="N104" s="165"/>
      <c r="O104" s="165"/>
      <c r="P104" s="165"/>
    </row>
    <row r="105" spans="1:16" ht="19.5" customHeight="1" thickBot="1">
      <c r="A105" s="1989"/>
      <c r="B105" s="1990"/>
      <c r="C105" s="113" t="s">
        <v>13</v>
      </c>
      <c r="D105" s="139">
        <f>SUM(D98:D104)</f>
        <v>3</v>
      </c>
      <c r="E105" s="116">
        <f t="shared" ref="E105:K105" si="8">SUM(E98:E104)</f>
        <v>11</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95"/>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987"/>
      <c r="C109" s="106">
        <v>2014</v>
      </c>
      <c r="D109" s="31"/>
      <c r="E109" s="174"/>
      <c r="F109" s="175"/>
      <c r="G109" s="175"/>
      <c r="H109" s="175"/>
      <c r="I109" s="175"/>
      <c r="J109" s="175"/>
      <c r="K109" s="175"/>
      <c r="L109" s="176"/>
      <c r="M109" s="185"/>
      <c r="N109" s="185"/>
    </row>
    <row r="110" spans="1:16">
      <c r="A110" s="1988"/>
      <c r="B110" s="1987"/>
      <c r="C110" s="110">
        <v>2015</v>
      </c>
      <c r="D110" s="38"/>
      <c r="E110" s="177"/>
      <c r="F110" s="178"/>
      <c r="G110" s="178"/>
      <c r="H110" s="178"/>
      <c r="I110" s="178"/>
      <c r="J110" s="178"/>
      <c r="K110" s="178"/>
      <c r="L110" s="179"/>
      <c r="M110" s="185"/>
      <c r="N110" s="185"/>
    </row>
    <row r="111" spans="1:16">
      <c r="A111" s="1988"/>
      <c r="B111" s="1987"/>
      <c r="C111" s="110">
        <v>2016</v>
      </c>
      <c r="D111" s="38"/>
      <c r="E111" s="177"/>
      <c r="F111" s="178"/>
      <c r="G111" s="178"/>
      <c r="H111" s="178"/>
      <c r="I111" s="178"/>
      <c r="J111" s="178"/>
      <c r="K111" s="178"/>
      <c r="L111" s="179"/>
      <c r="M111" s="185"/>
      <c r="N111" s="185"/>
    </row>
    <row r="112" spans="1:16">
      <c r="A112" s="1988"/>
      <c r="B112" s="1987"/>
      <c r="C112" s="110">
        <v>2017</v>
      </c>
      <c r="D112" s="38"/>
      <c r="E112" s="177"/>
      <c r="F112" s="178"/>
      <c r="G112" s="178"/>
      <c r="H112" s="178"/>
      <c r="I112" s="178"/>
      <c r="J112" s="178"/>
      <c r="K112" s="178"/>
      <c r="L112" s="179"/>
      <c r="M112" s="185"/>
      <c r="N112" s="185"/>
    </row>
    <row r="113" spans="1:14">
      <c r="A113" s="1988"/>
      <c r="B113" s="1987"/>
      <c r="C113" s="110">
        <v>2018</v>
      </c>
      <c r="D113" s="38"/>
      <c r="E113" s="177"/>
      <c r="F113" s="178"/>
      <c r="G113" s="178"/>
      <c r="H113" s="178"/>
      <c r="I113" s="178"/>
      <c r="J113" s="178"/>
      <c r="K113" s="178"/>
      <c r="L113" s="179"/>
      <c r="M113" s="185"/>
      <c r="N113" s="185"/>
    </row>
    <row r="114" spans="1:14">
      <c r="A114" s="1988"/>
      <c r="B114" s="1987"/>
      <c r="C114" s="110">
        <v>2019</v>
      </c>
      <c r="D114" s="38"/>
      <c r="E114" s="177"/>
      <c r="F114" s="178"/>
      <c r="G114" s="178"/>
      <c r="H114" s="178"/>
      <c r="I114" s="178"/>
      <c r="J114" s="178"/>
      <c r="K114" s="178"/>
      <c r="L114" s="179"/>
      <c r="M114" s="185"/>
      <c r="N114" s="185"/>
    </row>
    <row r="115" spans="1:14">
      <c r="A115" s="1988"/>
      <c r="B115" s="1987"/>
      <c r="C115" s="110">
        <v>2020</v>
      </c>
      <c r="D115" s="38"/>
      <c r="E115" s="177"/>
      <c r="F115" s="178"/>
      <c r="G115" s="178"/>
      <c r="H115" s="178"/>
      <c r="I115" s="178"/>
      <c r="J115" s="178"/>
      <c r="K115" s="178"/>
      <c r="L115" s="179"/>
      <c r="M115" s="185"/>
      <c r="N115" s="185"/>
    </row>
    <row r="116" spans="1:14" ht="25.5" customHeight="1" thickBot="1">
      <c r="A116" s="1989"/>
      <c r="B116" s="199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478"/>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95"/>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987"/>
      <c r="C120" s="106">
        <v>2014</v>
      </c>
      <c r="D120" s="31"/>
      <c r="E120" s="174"/>
      <c r="F120" s="175"/>
      <c r="G120" s="175"/>
      <c r="H120" s="175"/>
      <c r="I120" s="175"/>
      <c r="J120" s="175"/>
      <c r="K120" s="175"/>
      <c r="L120" s="176"/>
      <c r="M120" s="185"/>
      <c r="N120" s="185"/>
    </row>
    <row r="121" spans="1:14">
      <c r="A121" s="1988"/>
      <c r="B121" s="1987"/>
      <c r="C121" s="110">
        <v>2015</v>
      </c>
      <c r="D121" s="38"/>
      <c r="E121" s="177"/>
      <c r="F121" s="178"/>
      <c r="G121" s="178"/>
      <c r="H121" s="178"/>
      <c r="I121" s="178"/>
      <c r="J121" s="178"/>
      <c r="K121" s="178"/>
      <c r="L121" s="179"/>
      <c r="M121" s="185"/>
      <c r="N121" s="185"/>
    </row>
    <row r="122" spans="1:14">
      <c r="A122" s="1988"/>
      <c r="B122" s="1987"/>
      <c r="C122" s="110">
        <v>2016</v>
      </c>
      <c r="D122" s="38"/>
      <c r="E122" s="177"/>
      <c r="F122" s="178"/>
      <c r="G122" s="178"/>
      <c r="H122" s="178"/>
      <c r="I122" s="178"/>
      <c r="J122" s="178"/>
      <c r="K122" s="178"/>
      <c r="L122" s="179"/>
      <c r="M122" s="185"/>
      <c r="N122" s="185"/>
    </row>
    <row r="123" spans="1:14">
      <c r="A123" s="1988"/>
      <c r="B123" s="1987"/>
      <c r="C123" s="110">
        <v>2017</v>
      </c>
      <c r="D123" s="38"/>
      <c r="E123" s="177"/>
      <c r="F123" s="178"/>
      <c r="G123" s="178"/>
      <c r="H123" s="178"/>
      <c r="I123" s="178"/>
      <c r="J123" s="178"/>
      <c r="K123" s="178"/>
      <c r="L123" s="179"/>
      <c r="M123" s="185"/>
      <c r="N123" s="185"/>
    </row>
    <row r="124" spans="1:14">
      <c r="A124" s="1988"/>
      <c r="B124" s="1987"/>
      <c r="C124" s="110">
        <v>2018</v>
      </c>
      <c r="D124" s="38"/>
      <c r="E124" s="177"/>
      <c r="F124" s="178"/>
      <c r="G124" s="178"/>
      <c r="H124" s="178"/>
      <c r="I124" s="178"/>
      <c r="J124" s="178"/>
      <c r="K124" s="178"/>
      <c r="L124" s="179"/>
      <c r="M124" s="185"/>
      <c r="N124" s="185"/>
    </row>
    <row r="125" spans="1:14">
      <c r="A125" s="1988"/>
      <c r="B125" s="1987"/>
      <c r="C125" s="110">
        <v>2019</v>
      </c>
      <c r="D125" s="38"/>
      <c r="E125" s="177"/>
      <c r="F125" s="178"/>
      <c r="G125" s="178"/>
      <c r="H125" s="178"/>
      <c r="I125" s="178"/>
      <c r="J125" s="178"/>
      <c r="K125" s="178"/>
      <c r="L125" s="179"/>
      <c r="M125" s="185"/>
      <c r="N125" s="185"/>
    </row>
    <row r="126" spans="1:14">
      <c r="A126" s="1988"/>
      <c r="B126" s="1987"/>
      <c r="C126" s="110">
        <v>2020</v>
      </c>
      <c r="D126" s="38"/>
      <c r="E126" s="177"/>
      <c r="F126" s="178"/>
      <c r="G126" s="178"/>
      <c r="H126" s="178"/>
      <c r="I126" s="178"/>
      <c r="J126" s="178"/>
      <c r="K126" s="178"/>
      <c r="L126" s="179"/>
      <c r="M126" s="185"/>
      <c r="N126" s="185"/>
    </row>
    <row r="127" spans="1:14" ht="15.75" thickBot="1">
      <c r="A127" s="1989"/>
      <c r="B127" s="199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95"/>
      <c r="C130" s="192"/>
      <c r="D130" s="166" t="s">
        <v>86</v>
      </c>
      <c r="E130" s="193" t="s">
        <v>87</v>
      </c>
      <c r="F130" s="167" t="s">
        <v>88</v>
      </c>
      <c r="G130" s="194" t="s">
        <v>13</v>
      </c>
      <c r="H130" s="185"/>
      <c r="I130" s="185"/>
      <c r="J130" s="185"/>
      <c r="K130" s="185"/>
      <c r="L130" s="185"/>
      <c r="M130" s="185"/>
      <c r="N130" s="185"/>
    </row>
    <row r="131" spans="1:16" ht="15" customHeight="1">
      <c r="A131" s="1996"/>
      <c r="B131" s="1996"/>
      <c r="C131" s="479">
        <v>2015</v>
      </c>
      <c r="D131" s="90">
        <v>23</v>
      </c>
      <c r="E131" s="91"/>
      <c r="F131" s="91"/>
      <c r="G131" s="195">
        <f t="shared" ref="G131:G136" si="11">SUM(D131:F131)</f>
        <v>23</v>
      </c>
      <c r="H131" s="185"/>
      <c r="I131" s="185"/>
      <c r="J131" s="185"/>
      <c r="K131" s="185"/>
      <c r="L131" s="185"/>
      <c r="M131" s="185"/>
      <c r="N131" s="185"/>
    </row>
    <row r="132" spans="1:16">
      <c r="A132" s="1996"/>
      <c r="B132" s="1996"/>
      <c r="C132" s="110">
        <v>2016</v>
      </c>
      <c r="D132" s="37">
        <f>17+16+9+14</f>
        <v>56</v>
      </c>
      <c r="E132" s="38"/>
      <c r="F132" s="38"/>
      <c r="G132" s="195">
        <f t="shared" si="11"/>
        <v>56</v>
      </c>
      <c r="H132" s="185"/>
      <c r="I132" s="185"/>
      <c r="J132" s="185"/>
      <c r="K132" s="185"/>
      <c r="L132" s="185"/>
      <c r="M132" s="185"/>
      <c r="N132" s="185"/>
    </row>
    <row r="133" spans="1:16">
      <c r="A133" s="1996"/>
      <c r="B133" s="1996"/>
      <c r="C133" s="110">
        <v>2017</v>
      </c>
      <c r="D133" s="37">
        <v>79</v>
      </c>
      <c r="E133" s="38"/>
      <c r="F133" s="38"/>
      <c r="G133" s="195">
        <f t="shared" si="11"/>
        <v>79</v>
      </c>
      <c r="H133" s="185"/>
      <c r="I133" s="185"/>
      <c r="J133" s="185"/>
      <c r="K133" s="185"/>
      <c r="L133" s="185"/>
      <c r="M133" s="185"/>
      <c r="N133" s="185"/>
    </row>
    <row r="134" spans="1:16">
      <c r="A134" s="1996"/>
      <c r="B134" s="1996"/>
      <c r="C134" s="110">
        <v>2018</v>
      </c>
      <c r="D134" s="37"/>
      <c r="E134" s="38"/>
      <c r="F134" s="38"/>
      <c r="G134" s="195">
        <f t="shared" si="11"/>
        <v>0</v>
      </c>
      <c r="H134" s="185"/>
      <c r="I134" s="185"/>
      <c r="J134" s="185"/>
      <c r="K134" s="185"/>
      <c r="L134" s="185"/>
      <c r="M134" s="185"/>
      <c r="N134" s="185"/>
    </row>
    <row r="135" spans="1:16">
      <c r="A135" s="1996"/>
      <c r="B135" s="1996"/>
      <c r="C135" s="110">
        <v>2019</v>
      </c>
      <c r="D135" s="37"/>
      <c r="E135" s="38"/>
      <c r="F135" s="38"/>
      <c r="G135" s="195">
        <f t="shared" si="11"/>
        <v>0</v>
      </c>
      <c r="H135" s="185"/>
      <c r="I135" s="185"/>
      <c r="J135" s="185"/>
      <c r="K135" s="185"/>
      <c r="L135" s="185"/>
      <c r="M135" s="185"/>
      <c r="N135" s="185"/>
    </row>
    <row r="136" spans="1:16">
      <c r="A136" s="1996"/>
      <c r="B136" s="1996"/>
      <c r="C136" s="110">
        <v>2020</v>
      </c>
      <c r="D136" s="37"/>
      <c r="E136" s="38"/>
      <c r="F136" s="38"/>
      <c r="G136" s="195">
        <f t="shared" si="11"/>
        <v>0</v>
      </c>
      <c r="H136" s="185"/>
      <c r="I136" s="185"/>
      <c r="J136" s="185"/>
      <c r="K136" s="185"/>
      <c r="L136" s="185"/>
      <c r="M136" s="185"/>
      <c r="N136" s="185"/>
    </row>
    <row r="137" spans="1:16" ht="17.25" customHeight="1" thickBot="1">
      <c r="A137" s="1997"/>
      <c r="B137" s="1997"/>
      <c r="C137" s="113" t="s">
        <v>13</v>
      </c>
      <c r="D137" s="139">
        <f>SUM(D131:D136)</f>
        <v>158</v>
      </c>
      <c r="E137" s="139">
        <f t="shared" ref="E137:F137" si="12">SUM(E131:E136)</f>
        <v>0</v>
      </c>
      <c r="F137" s="139">
        <f t="shared" si="12"/>
        <v>0</v>
      </c>
      <c r="G137" s="196">
        <f>SUM(G131:G136)</f>
        <v>158</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48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987"/>
      <c r="C144" s="106">
        <v>2014</v>
      </c>
      <c r="D144" s="30"/>
      <c r="E144" s="30"/>
      <c r="F144" s="31"/>
      <c r="G144" s="175"/>
      <c r="H144" s="175"/>
      <c r="I144" s="213">
        <f>D144+F144+G144+H144</f>
        <v>0</v>
      </c>
      <c r="J144" s="214"/>
      <c r="K144" s="215"/>
      <c r="L144" s="214"/>
      <c r="M144" s="215"/>
      <c r="N144" s="216"/>
      <c r="O144" s="165"/>
      <c r="P144" s="165"/>
    </row>
    <row r="145" spans="1:16" ht="19.5" customHeight="1">
      <c r="A145" s="1988"/>
      <c r="B145" s="1987"/>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988"/>
      <c r="B146" s="1987"/>
      <c r="C146" s="110">
        <v>2016</v>
      </c>
      <c r="D146" s="37"/>
      <c r="E146" s="37"/>
      <c r="F146" s="38"/>
      <c r="G146" s="178"/>
      <c r="H146" s="178"/>
      <c r="I146" s="213">
        <f t="shared" si="13"/>
        <v>0</v>
      </c>
      <c r="J146" s="217"/>
      <c r="K146" s="218"/>
      <c r="L146" s="217"/>
      <c r="M146" s="218"/>
      <c r="N146" s="219"/>
      <c r="O146" s="165"/>
      <c r="P146" s="165"/>
    </row>
    <row r="147" spans="1:16" ht="17.25" customHeight="1">
      <c r="A147" s="1988"/>
      <c r="B147" s="1987"/>
      <c r="C147" s="110">
        <v>2017</v>
      </c>
      <c r="D147" s="37"/>
      <c r="E147" s="37"/>
      <c r="F147" s="38"/>
      <c r="G147" s="178"/>
      <c r="H147" s="178"/>
      <c r="I147" s="213">
        <f t="shared" si="13"/>
        <v>0</v>
      </c>
      <c r="J147" s="217"/>
      <c r="K147" s="218"/>
      <c r="L147" s="217"/>
      <c r="M147" s="218"/>
      <c r="N147" s="219"/>
      <c r="O147" s="165"/>
      <c r="P147" s="165"/>
    </row>
    <row r="148" spans="1:16" ht="19.5" customHeight="1">
      <c r="A148" s="1988"/>
      <c r="B148" s="1987"/>
      <c r="C148" s="110">
        <v>2018</v>
      </c>
      <c r="D148" s="37"/>
      <c r="E148" s="37"/>
      <c r="F148" s="38"/>
      <c r="G148" s="178"/>
      <c r="H148" s="178"/>
      <c r="I148" s="213">
        <f t="shared" si="13"/>
        <v>0</v>
      </c>
      <c r="J148" s="217"/>
      <c r="K148" s="218"/>
      <c r="L148" s="217"/>
      <c r="M148" s="218"/>
      <c r="N148" s="219"/>
      <c r="O148" s="165"/>
      <c r="P148" s="165"/>
    </row>
    <row r="149" spans="1:16" ht="19.5" customHeight="1">
      <c r="A149" s="1988"/>
      <c r="B149" s="1987"/>
      <c r="C149" s="110">
        <v>2019</v>
      </c>
      <c r="D149" s="37"/>
      <c r="E149" s="37"/>
      <c r="F149" s="38"/>
      <c r="G149" s="178"/>
      <c r="H149" s="178"/>
      <c r="I149" s="213">
        <f t="shared" si="13"/>
        <v>0</v>
      </c>
      <c r="J149" s="217"/>
      <c r="K149" s="218"/>
      <c r="L149" s="217"/>
      <c r="M149" s="218"/>
      <c r="N149" s="219"/>
      <c r="O149" s="165"/>
      <c r="P149" s="165"/>
    </row>
    <row r="150" spans="1:16" ht="18.75" customHeight="1">
      <c r="A150" s="1988"/>
      <c r="B150" s="1987"/>
      <c r="C150" s="110">
        <v>2020</v>
      </c>
      <c r="D150" s="37"/>
      <c r="E150" s="37"/>
      <c r="F150" s="38"/>
      <c r="G150" s="178"/>
      <c r="H150" s="178"/>
      <c r="I150" s="213">
        <f t="shared" si="13"/>
        <v>0</v>
      </c>
      <c r="J150" s="217"/>
      <c r="K150" s="218"/>
      <c r="L150" s="217"/>
      <c r="M150" s="218"/>
      <c r="N150" s="219"/>
      <c r="O150" s="165"/>
      <c r="P150" s="165"/>
    </row>
    <row r="151" spans="1:16" ht="18" customHeight="1" thickBot="1">
      <c r="A151" s="1989"/>
      <c r="B151" s="199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199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987"/>
      <c r="C155" s="233">
        <v>2014</v>
      </c>
      <c r="D155" s="214"/>
      <c r="E155" s="175"/>
      <c r="F155" s="215"/>
      <c r="G155" s="213">
        <f>SUM(D155:F155)</f>
        <v>0</v>
      </c>
      <c r="H155" s="214"/>
      <c r="I155" s="175"/>
      <c r="J155" s="176"/>
      <c r="O155" s="165"/>
      <c r="P155" s="165"/>
    </row>
    <row r="156" spans="1:16" ht="19.5" customHeight="1">
      <c r="A156" s="1988"/>
      <c r="B156" s="1987"/>
      <c r="C156" s="234">
        <v>2015</v>
      </c>
      <c r="D156" s="217"/>
      <c r="E156" s="178"/>
      <c r="F156" s="218"/>
      <c r="G156" s="213">
        <f t="shared" ref="G156:G161" si="15">SUM(D156:F156)</f>
        <v>0</v>
      </c>
      <c r="H156" s="217"/>
      <c r="I156" s="178"/>
      <c r="J156" s="179"/>
      <c r="O156" s="165"/>
      <c r="P156" s="165"/>
    </row>
    <row r="157" spans="1:16" ht="17.25" customHeight="1">
      <c r="A157" s="1988"/>
      <c r="B157" s="1987"/>
      <c r="C157" s="234">
        <v>2016</v>
      </c>
      <c r="D157" s="217"/>
      <c r="E157" s="178"/>
      <c r="F157" s="218"/>
      <c r="G157" s="213">
        <f t="shared" si="15"/>
        <v>0</v>
      </c>
      <c r="H157" s="217"/>
      <c r="I157" s="178"/>
      <c r="J157" s="179"/>
      <c r="O157" s="165"/>
      <c r="P157" s="165"/>
    </row>
    <row r="158" spans="1:16" ht="15" customHeight="1">
      <c r="A158" s="1988"/>
      <c r="B158" s="1987"/>
      <c r="C158" s="234">
        <v>2017</v>
      </c>
      <c r="D158" s="217"/>
      <c r="E158" s="178"/>
      <c r="F158" s="218"/>
      <c r="G158" s="213">
        <f t="shared" si="15"/>
        <v>0</v>
      </c>
      <c r="H158" s="217"/>
      <c r="I158" s="178"/>
      <c r="J158" s="179"/>
      <c r="O158" s="165"/>
      <c r="P158" s="165"/>
    </row>
    <row r="159" spans="1:16" ht="19.5" customHeight="1">
      <c r="A159" s="1988"/>
      <c r="B159" s="1987"/>
      <c r="C159" s="234">
        <v>2018</v>
      </c>
      <c r="D159" s="217"/>
      <c r="E159" s="178"/>
      <c r="F159" s="218"/>
      <c r="G159" s="213">
        <f t="shared" si="15"/>
        <v>0</v>
      </c>
      <c r="H159" s="217"/>
      <c r="I159" s="178"/>
      <c r="J159" s="179"/>
      <c r="O159" s="165"/>
      <c r="P159" s="165"/>
    </row>
    <row r="160" spans="1:16" ht="15" customHeight="1">
      <c r="A160" s="1988"/>
      <c r="B160" s="1987"/>
      <c r="C160" s="234">
        <v>2019</v>
      </c>
      <c r="D160" s="217"/>
      <c r="E160" s="178"/>
      <c r="F160" s="218"/>
      <c r="G160" s="213">
        <f t="shared" si="15"/>
        <v>0</v>
      </c>
      <c r="H160" s="217"/>
      <c r="I160" s="178"/>
      <c r="J160" s="179"/>
      <c r="O160" s="165"/>
      <c r="P160" s="165"/>
    </row>
    <row r="161" spans="1:18" ht="17.25" customHeight="1">
      <c r="A161" s="1988"/>
      <c r="B161" s="1987"/>
      <c r="C161" s="234">
        <v>2020</v>
      </c>
      <c r="D161" s="217"/>
      <c r="E161" s="178"/>
      <c r="F161" s="218"/>
      <c r="G161" s="213">
        <f t="shared" si="15"/>
        <v>0</v>
      </c>
      <c r="H161" s="217"/>
      <c r="I161" s="178"/>
      <c r="J161" s="179"/>
      <c r="O161" s="165"/>
      <c r="P161" s="165"/>
    </row>
    <row r="162" spans="1:18" ht="15.75" thickBot="1">
      <c r="A162" s="1989"/>
      <c r="B162" s="199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992"/>
      <c r="C165" s="251">
        <v>2014</v>
      </c>
      <c r="D165" s="175"/>
      <c r="E165" s="175"/>
      <c r="F165" s="175"/>
      <c r="G165" s="175"/>
      <c r="H165" s="175"/>
      <c r="I165" s="176"/>
      <c r="J165" s="252">
        <f>SUM(D165,F165,H165)</f>
        <v>0</v>
      </c>
      <c r="K165" s="253">
        <f>SUM(E165,G165,I165)</f>
        <v>0</v>
      </c>
      <c r="L165" s="406"/>
    </row>
    <row r="166" spans="1:18">
      <c r="A166" s="1993"/>
      <c r="B166" s="1987"/>
      <c r="C166" s="254">
        <v>2015</v>
      </c>
      <c r="D166" s="255"/>
      <c r="E166" s="255"/>
      <c r="F166" s="255"/>
      <c r="G166" s="255"/>
      <c r="H166" s="255"/>
      <c r="I166" s="256"/>
      <c r="J166" s="407">
        <f t="shared" ref="J166:K171" si="17">SUM(D166,F166,H166)</f>
        <v>0</v>
      </c>
      <c r="K166" s="408">
        <f t="shared" si="17"/>
        <v>0</v>
      </c>
      <c r="L166" s="406"/>
    </row>
    <row r="167" spans="1:18">
      <c r="A167" s="1993"/>
      <c r="B167" s="1987"/>
      <c r="C167" s="254">
        <v>2016</v>
      </c>
      <c r="D167" s="255"/>
      <c r="E167" s="255"/>
      <c r="F167" s="255"/>
      <c r="G167" s="255"/>
      <c r="H167" s="255"/>
      <c r="I167" s="256"/>
      <c r="J167" s="407">
        <f t="shared" si="17"/>
        <v>0</v>
      </c>
      <c r="K167" s="408">
        <f t="shared" si="17"/>
        <v>0</v>
      </c>
    </row>
    <row r="168" spans="1:18">
      <c r="A168" s="1993"/>
      <c r="B168" s="1987"/>
      <c r="C168" s="254">
        <v>2017</v>
      </c>
      <c r="D168" s="255"/>
      <c r="E168" s="165"/>
      <c r="F168" s="255"/>
      <c r="G168" s="255"/>
      <c r="H168" s="255"/>
      <c r="I168" s="256"/>
      <c r="J168" s="407">
        <f t="shared" si="17"/>
        <v>0</v>
      </c>
      <c r="K168" s="408">
        <f t="shared" si="17"/>
        <v>0</v>
      </c>
    </row>
    <row r="169" spans="1:18">
      <c r="A169" s="1993"/>
      <c r="B169" s="1987"/>
      <c r="C169" s="262">
        <v>2018</v>
      </c>
      <c r="D169" s="255"/>
      <c r="E169" s="255"/>
      <c r="F169" s="255"/>
      <c r="G169" s="263"/>
      <c r="H169" s="255"/>
      <c r="I169" s="256"/>
      <c r="J169" s="407">
        <f t="shared" si="17"/>
        <v>0</v>
      </c>
      <c r="K169" s="408">
        <f t="shared" si="17"/>
        <v>0</v>
      </c>
      <c r="L169" s="406"/>
    </row>
    <row r="170" spans="1:18">
      <c r="A170" s="1993"/>
      <c r="B170" s="1987"/>
      <c r="C170" s="254">
        <v>2019</v>
      </c>
      <c r="D170" s="165"/>
      <c r="E170" s="255"/>
      <c r="F170" s="255"/>
      <c r="G170" s="255"/>
      <c r="H170" s="263"/>
      <c r="I170" s="256"/>
      <c r="J170" s="407">
        <f t="shared" si="17"/>
        <v>0</v>
      </c>
      <c r="K170" s="408">
        <f t="shared" si="17"/>
        <v>0</v>
      </c>
      <c r="L170" s="406"/>
    </row>
    <row r="171" spans="1:18">
      <c r="A171" s="1993"/>
      <c r="B171" s="1987"/>
      <c r="C171" s="262">
        <v>2020</v>
      </c>
      <c r="D171" s="255"/>
      <c r="E171" s="255"/>
      <c r="F171" s="255"/>
      <c r="G171" s="255"/>
      <c r="H171" s="255"/>
      <c r="I171" s="256"/>
      <c r="J171" s="407">
        <f t="shared" si="17"/>
        <v>0</v>
      </c>
      <c r="K171" s="408">
        <f t="shared" si="17"/>
        <v>0</v>
      </c>
      <c r="L171" s="406"/>
    </row>
    <row r="172" spans="1:18" ht="41.25" customHeight="1" thickBot="1">
      <c r="A172" s="1994"/>
      <c r="B172" s="1990"/>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481" t="s">
        <v>126</v>
      </c>
      <c r="B174" s="270"/>
      <c r="C174" s="271"/>
      <c r="D174" s="271"/>
      <c r="E174" s="271"/>
      <c r="F174" s="271"/>
      <c r="G174" s="271"/>
      <c r="H174" s="271"/>
      <c r="I174" s="271"/>
      <c r="J174" s="271"/>
      <c r="K174" s="271"/>
      <c r="L174" s="271"/>
      <c r="M174" s="271"/>
      <c r="N174" s="271"/>
      <c r="O174" s="271"/>
    </row>
    <row r="175" spans="1:18" ht="21.75" thickBot="1">
      <c r="A175" s="48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984" t="s">
        <v>226</v>
      </c>
      <c r="B178" s="1984" t="s">
        <v>227</v>
      </c>
      <c r="C178" s="106">
        <v>2014</v>
      </c>
      <c r="D178" s="30"/>
      <c r="E178" s="31"/>
      <c r="F178" s="31"/>
      <c r="G178" s="284">
        <f>SUM(D178:F178)</f>
        <v>0</v>
      </c>
      <c r="H178" s="155"/>
      <c r="I178" s="155"/>
      <c r="J178" s="31"/>
      <c r="K178" s="31"/>
      <c r="L178" s="31"/>
      <c r="M178" s="31"/>
      <c r="N178" s="31"/>
      <c r="O178" s="34"/>
    </row>
    <row r="179" spans="1:15">
      <c r="A179" s="1984"/>
      <c r="B179" s="1984"/>
      <c r="C179" s="110">
        <v>2015</v>
      </c>
      <c r="D179" s="37">
        <v>2</v>
      </c>
      <c r="E179" s="38"/>
      <c r="F179" s="38"/>
      <c r="G179" s="284">
        <f t="shared" ref="G179:G184" si="19">SUM(D179:F179)</f>
        <v>2</v>
      </c>
      <c r="H179" s="411">
        <v>2</v>
      </c>
      <c r="I179" s="112"/>
      <c r="J179" s="38"/>
      <c r="K179" s="38"/>
      <c r="L179" s="38"/>
      <c r="M179" s="38">
        <v>2</v>
      </c>
      <c r="N179" s="38"/>
      <c r="O179" s="88"/>
    </row>
    <row r="180" spans="1:15">
      <c r="A180" s="1984"/>
      <c r="B180" s="1984"/>
      <c r="C180" s="110">
        <v>2016</v>
      </c>
      <c r="D180" s="37">
        <v>3</v>
      </c>
      <c r="E180" s="38"/>
      <c r="F180" s="38"/>
      <c r="G180" s="284">
        <f t="shared" si="19"/>
        <v>3</v>
      </c>
      <c r="H180" s="411">
        <v>3</v>
      </c>
      <c r="I180" s="112"/>
      <c r="J180" s="38"/>
      <c r="K180" s="38"/>
      <c r="L180" s="38"/>
      <c r="M180" s="38">
        <v>3</v>
      </c>
      <c r="N180" s="38"/>
      <c r="O180" s="88"/>
    </row>
    <row r="181" spans="1:15">
      <c r="A181" s="1984"/>
      <c r="B181" s="1984"/>
      <c r="C181" s="110">
        <v>2017</v>
      </c>
      <c r="D181" s="37">
        <v>5</v>
      </c>
      <c r="E181" s="38">
        <v>3</v>
      </c>
      <c r="F181" s="38"/>
      <c r="G181" s="284">
        <f t="shared" si="19"/>
        <v>8</v>
      </c>
      <c r="H181" s="411">
        <v>20</v>
      </c>
      <c r="I181" s="112"/>
      <c r="J181" s="38">
        <v>2</v>
      </c>
      <c r="K181" s="38"/>
      <c r="L181" s="38">
        <v>5</v>
      </c>
      <c r="M181" s="38">
        <v>1</v>
      </c>
      <c r="N181" s="38"/>
      <c r="O181" s="88"/>
    </row>
    <row r="182" spans="1:15">
      <c r="A182" s="1984"/>
      <c r="B182" s="1984"/>
      <c r="C182" s="110">
        <v>2018</v>
      </c>
      <c r="D182" s="37"/>
      <c r="E182" s="38"/>
      <c r="F182" s="38"/>
      <c r="G182" s="284">
        <f t="shared" si="19"/>
        <v>0</v>
      </c>
      <c r="H182" s="411"/>
      <c r="I182" s="112"/>
      <c r="J182" s="38"/>
      <c r="K182" s="38"/>
      <c r="L182" s="38"/>
      <c r="M182" s="38"/>
      <c r="N182" s="38"/>
      <c r="O182" s="88"/>
    </row>
    <row r="183" spans="1:15">
      <c r="A183" s="1984"/>
      <c r="B183" s="1984"/>
      <c r="C183" s="110">
        <v>2019</v>
      </c>
      <c r="D183" s="37"/>
      <c r="E183" s="38"/>
      <c r="F183" s="38"/>
      <c r="G183" s="284">
        <f t="shared" si="19"/>
        <v>0</v>
      </c>
      <c r="H183" s="411"/>
      <c r="I183" s="112"/>
      <c r="J183" s="38"/>
      <c r="K183" s="38"/>
      <c r="L183" s="38"/>
      <c r="M183" s="38"/>
      <c r="N183" s="38"/>
      <c r="O183" s="88"/>
    </row>
    <row r="184" spans="1:15">
      <c r="A184" s="1984"/>
      <c r="B184" s="1984"/>
      <c r="C184" s="110">
        <v>2020</v>
      </c>
      <c r="D184" s="37"/>
      <c r="E184" s="38"/>
      <c r="F184" s="38"/>
      <c r="G184" s="284">
        <f t="shared" si="19"/>
        <v>0</v>
      </c>
      <c r="H184" s="411"/>
      <c r="I184" s="112"/>
      <c r="J184" s="38"/>
      <c r="K184" s="38"/>
      <c r="L184" s="38"/>
      <c r="M184" s="38"/>
      <c r="N184" s="38"/>
      <c r="O184" s="88"/>
    </row>
    <row r="185" spans="1:15" ht="45" customHeight="1" thickBot="1">
      <c r="A185" s="1985"/>
      <c r="B185" s="1985"/>
      <c r="C185" s="113" t="s">
        <v>13</v>
      </c>
      <c r="D185" s="139">
        <f>SUM(D178:D184)</f>
        <v>10</v>
      </c>
      <c r="E185" s="116">
        <f>SUM(E178:E184)</f>
        <v>3</v>
      </c>
      <c r="F185" s="116">
        <f>SUM(F178:F184)</f>
        <v>0</v>
      </c>
      <c r="G185" s="220">
        <f t="shared" ref="G185:O185" si="20">SUM(G178:G184)</f>
        <v>13</v>
      </c>
      <c r="H185" s="285">
        <f t="shared" si="20"/>
        <v>25</v>
      </c>
      <c r="I185" s="115">
        <f t="shared" si="20"/>
        <v>0</v>
      </c>
      <c r="J185" s="116">
        <f t="shared" si="20"/>
        <v>2</v>
      </c>
      <c r="K185" s="116">
        <f t="shared" si="20"/>
        <v>0</v>
      </c>
      <c r="L185" s="116">
        <f t="shared" si="20"/>
        <v>5</v>
      </c>
      <c r="M185" s="116">
        <f t="shared" si="20"/>
        <v>6</v>
      </c>
      <c r="N185" s="116">
        <f t="shared" si="20"/>
        <v>0</v>
      </c>
      <c r="O185" s="117">
        <f t="shared" si="20"/>
        <v>0</v>
      </c>
    </row>
    <row r="186" spans="1:15" ht="33" customHeight="1" thickBot="1"/>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90" customHeight="1">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4" t="s">
        <v>228</v>
      </c>
      <c r="B189" s="1984" t="s">
        <v>229</v>
      </c>
      <c r="C189" s="290">
        <v>2014</v>
      </c>
      <c r="D189" s="133"/>
      <c r="E189" s="109"/>
      <c r="F189" s="109"/>
      <c r="G189" s="291">
        <f>SUM(D189:F189)</f>
        <v>0</v>
      </c>
      <c r="H189" s="108"/>
      <c r="I189" s="109"/>
      <c r="J189" s="109"/>
      <c r="K189" s="109"/>
      <c r="L189" s="134"/>
    </row>
    <row r="190" spans="1:15">
      <c r="A190" s="1974"/>
      <c r="B190" s="1984"/>
      <c r="C190" s="73">
        <v>2015</v>
      </c>
      <c r="D190" s="37">
        <v>440</v>
      </c>
      <c r="E190" s="38"/>
      <c r="F190" s="38"/>
      <c r="G190" s="291">
        <f t="shared" ref="G190:G195" si="21">SUM(D190:F190)</f>
        <v>440</v>
      </c>
      <c r="H190" s="112"/>
      <c r="I190" s="38">
        <v>50</v>
      </c>
      <c r="J190" s="38"/>
      <c r="K190" s="38">
        <v>390</v>
      </c>
      <c r="L190" s="88"/>
    </row>
    <row r="191" spans="1:15">
      <c r="A191" s="1974"/>
      <c r="B191" s="1984"/>
      <c r="C191" s="73">
        <v>2016</v>
      </c>
      <c r="D191" s="37">
        <v>165</v>
      </c>
      <c r="E191" s="38"/>
      <c r="F191" s="38"/>
      <c r="G191" s="291">
        <f t="shared" si="21"/>
        <v>165</v>
      </c>
      <c r="H191" s="112"/>
      <c r="I191" s="38">
        <v>142</v>
      </c>
      <c r="J191" s="38"/>
      <c r="K191" s="38"/>
      <c r="L191" s="88">
        <v>23</v>
      </c>
    </row>
    <row r="192" spans="1:15">
      <c r="A192" s="1974"/>
      <c r="B192" s="1984"/>
      <c r="C192" s="73">
        <v>2017</v>
      </c>
      <c r="D192" s="37">
        <v>195</v>
      </c>
      <c r="E192" s="38">
        <v>83</v>
      </c>
      <c r="F192" s="38"/>
      <c r="G192" s="291">
        <f t="shared" si="21"/>
        <v>278</v>
      </c>
      <c r="H192" s="112"/>
      <c r="I192" s="38">
        <v>127</v>
      </c>
      <c r="J192" s="38"/>
      <c r="K192" s="38">
        <v>119</v>
      </c>
      <c r="L192" s="88">
        <v>32</v>
      </c>
    </row>
    <row r="193" spans="1:14">
      <c r="A193" s="1974"/>
      <c r="B193" s="1984"/>
      <c r="C193" s="73">
        <v>2018</v>
      </c>
      <c r="D193" s="37"/>
      <c r="E193" s="38"/>
      <c r="F193" s="38"/>
      <c r="G193" s="291">
        <f t="shared" si="21"/>
        <v>0</v>
      </c>
      <c r="H193" s="112"/>
      <c r="I193" s="38"/>
      <c r="J193" s="38"/>
      <c r="K193" s="38"/>
      <c r="L193" s="88"/>
    </row>
    <row r="194" spans="1:14">
      <c r="A194" s="1974"/>
      <c r="B194" s="1984"/>
      <c r="C194" s="73">
        <v>2019</v>
      </c>
      <c r="D194" s="37"/>
      <c r="E194" s="38"/>
      <c r="F194" s="38"/>
      <c r="G194" s="291">
        <f t="shared" si="21"/>
        <v>0</v>
      </c>
      <c r="H194" s="112"/>
      <c r="I194" s="38"/>
      <c r="J194" s="38"/>
      <c r="K194" s="38"/>
      <c r="L194" s="88"/>
    </row>
    <row r="195" spans="1:14">
      <c r="A195" s="1974"/>
      <c r="B195" s="1984"/>
      <c r="C195" s="73">
        <v>2020</v>
      </c>
      <c r="D195" s="37"/>
      <c r="E195" s="38"/>
      <c r="F195" s="38"/>
      <c r="G195" s="291">
        <f t="shared" si="21"/>
        <v>0</v>
      </c>
      <c r="H195" s="112"/>
      <c r="I195" s="38"/>
      <c r="J195" s="38"/>
      <c r="K195" s="38"/>
      <c r="L195" s="88"/>
    </row>
    <row r="196" spans="1:14" ht="15.75" thickBot="1">
      <c r="A196" s="1975"/>
      <c r="B196" s="1985"/>
      <c r="C196" s="136" t="s">
        <v>13</v>
      </c>
      <c r="D196" s="139">
        <f t="shared" ref="D196:L196" si="22">SUM(D189:D195)</f>
        <v>800</v>
      </c>
      <c r="E196" s="116">
        <f t="shared" si="22"/>
        <v>83</v>
      </c>
      <c r="F196" s="116">
        <f t="shared" si="22"/>
        <v>0</v>
      </c>
      <c r="G196" s="292">
        <f t="shared" si="22"/>
        <v>883</v>
      </c>
      <c r="H196" s="115">
        <f t="shared" si="22"/>
        <v>0</v>
      </c>
      <c r="I196" s="116">
        <f t="shared" si="22"/>
        <v>319</v>
      </c>
      <c r="J196" s="116">
        <f t="shared" si="22"/>
        <v>0</v>
      </c>
      <c r="K196" s="116">
        <f t="shared" si="22"/>
        <v>509</v>
      </c>
      <c r="L196" s="117">
        <f t="shared" si="22"/>
        <v>55</v>
      </c>
    </row>
    <row r="199" spans="1:14" ht="21">
      <c r="A199" s="483" t="s">
        <v>149</v>
      </c>
      <c r="B199" s="293"/>
      <c r="C199" s="294"/>
      <c r="D199" s="294"/>
      <c r="E199" s="294"/>
      <c r="F199" s="294"/>
      <c r="G199" s="294"/>
      <c r="H199" s="294"/>
      <c r="I199" s="294"/>
      <c r="J199" s="294"/>
      <c r="K199" s="294"/>
      <c r="L199" s="294"/>
      <c r="M199" s="65"/>
      <c r="N199" s="65"/>
    </row>
    <row r="200" spans="1:14" ht="10.5" customHeight="1" thickBot="1">
      <c r="A200" s="484"/>
      <c r="B200" s="295"/>
      <c r="C200" s="294"/>
      <c r="D200" s="294"/>
      <c r="E200" s="294"/>
      <c r="F200" s="294"/>
      <c r="G200" s="294"/>
      <c r="H200" s="294"/>
      <c r="I200" s="294"/>
      <c r="J200" s="294"/>
      <c r="K200" s="294"/>
      <c r="L200" s="294"/>
    </row>
    <row r="201" spans="1:14" s="56" customFormat="1" ht="101.25" customHeight="1">
      <c r="A201" s="485"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486" t="s">
        <v>161</v>
      </c>
      <c r="B212" s="322" t="s">
        <v>162</v>
      </c>
      <c r="C212" s="323">
        <v>2014</v>
      </c>
      <c r="D212" s="324">
        <v>2015</v>
      </c>
      <c r="E212" s="324">
        <v>2016</v>
      </c>
      <c r="F212" s="324">
        <v>2017</v>
      </c>
      <c r="G212" s="324">
        <v>2018</v>
      </c>
      <c r="H212" s="324">
        <v>2019</v>
      </c>
      <c r="I212" s="325">
        <v>2020</v>
      </c>
    </row>
    <row r="213" spans="1:12" ht="15" customHeight="1">
      <c r="A213" s="7" t="s">
        <v>163</v>
      </c>
      <c r="B213" s="1986" t="s">
        <v>230</v>
      </c>
      <c r="C213" s="72"/>
      <c r="D213" s="328">
        <v>549033.13</v>
      </c>
      <c r="E213" s="328">
        <f>1132917.39+615</f>
        <v>1133532.3899999999</v>
      </c>
      <c r="F213" s="328">
        <v>802294.5</v>
      </c>
      <c r="G213" s="135"/>
      <c r="H213" s="135"/>
      <c r="I213" s="326"/>
    </row>
    <row r="214" spans="1:12">
      <c r="A214" s="7" t="s">
        <v>164</v>
      </c>
      <c r="B214" s="1984"/>
      <c r="C214" s="72"/>
      <c r="D214" s="328">
        <v>402308.52</v>
      </c>
      <c r="E214" s="328">
        <v>1012700.4</v>
      </c>
      <c r="F214" s="328">
        <v>377049.99</v>
      </c>
      <c r="G214" s="135"/>
      <c r="H214" s="135"/>
      <c r="I214" s="326"/>
    </row>
    <row r="215" spans="1:12">
      <c r="A215" s="7" t="s">
        <v>165</v>
      </c>
      <c r="B215" s="1984"/>
      <c r="C215" s="72"/>
      <c r="D215" s="328">
        <v>0</v>
      </c>
      <c r="E215" s="328">
        <v>14546</v>
      </c>
      <c r="F215" s="328">
        <v>3876</v>
      </c>
      <c r="G215" s="135"/>
      <c r="H215" s="135"/>
      <c r="I215" s="326"/>
    </row>
    <row r="216" spans="1:12">
      <c r="A216" s="7" t="s">
        <v>166</v>
      </c>
      <c r="B216" s="1984"/>
      <c r="C216" s="72"/>
      <c r="D216" s="328">
        <v>146724.60999999999</v>
      </c>
      <c r="E216" s="328">
        <f>94314.99+615</f>
        <v>94929.99</v>
      </c>
      <c r="F216" s="328">
        <v>68601.25</v>
      </c>
      <c r="G216" s="135"/>
      <c r="H216" s="135"/>
      <c r="I216" s="326"/>
    </row>
    <row r="217" spans="1:12">
      <c r="A217" s="7" t="s">
        <v>167</v>
      </c>
      <c r="B217" s="1984"/>
      <c r="C217" s="72"/>
      <c r="D217" s="328">
        <v>0</v>
      </c>
      <c r="E217" s="328">
        <v>11356</v>
      </c>
      <c r="F217" s="328">
        <v>352767.26</v>
      </c>
      <c r="G217" s="135"/>
      <c r="H217" s="135"/>
      <c r="I217" s="326"/>
    </row>
    <row r="218" spans="1:12" ht="30">
      <c r="A218" s="51" t="s">
        <v>168</v>
      </c>
      <c r="B218" s="1984"/>
      <c r="C218" s="72"/>
      <c r="D218" s="487">
        <v>102907.23</v>
      </c>
      <c r="E218" s="487">
        <v>368221.83</v>
      </c>
      <c r="F218" s="328">
        <v>320321.28999999998</v>
      </c>
      <c r="G218" s="135"/>
      <c r="H218" s="135"/>
      <c r="I218" s="326"/>
    </row>
    <row r="219" spans="1:12" ht="15.75" thickBot="1">
      <c r="A219" s="331"/>
      <c r="B219" s="1985"/>
      <c r="C219" s="42" t="s">
        <v>13</v>
      </c>
      <c r="D219" s="333">
        <f>SUM(D214:D218)</f>
        <v>651940.36</v>
      </c>
      <c r="E219" s="333">
        <f t="shared" ref="E219:I219" si="24">SUM(E214:E218)</f>
        <v>1501754.2200000002</v>
      </c>
      <c r="F219" s="333">
        <f t="shared" si="24"/>
        <v>1122615.79</v>
      </c>
      <c r="G219" s="333">
        <f t="shared" si="24"/>
        <v>0</v>
      </c>
      <c r="H219" s="333">
        <f t="shared" si="24"/>
        <v>0</v>
      </c>
      <c r="I219" s="333">
        <f t="shared" si="24"/>
        <v>0</v>
      </c>
    </row>
    <row r="221" spans="1:12">
      <c r="F221" s="327"/>
    </row>
    <row r="227" spans="1:5">
      <c r="A227" s="51"/>
      <c r="C227" s="466"/>
    </row>
    <row r="228" spans="1:5">
      <c r="C228" s="466"/>
    </row>
    <row r="231" spans="1:5">
      <c r="C231" s="466"/>
    </row>
    <row r="236" spans="1:5">
      <c r="E236" s="466"/>
    </row>
  </sheetData>
  <mergeCells count="63">
    <mergeCell ref="A50:B58"/>
    <mergeCell ref="B1:F1"/>
    <mergeCell ref="F3:O3"/>
    <mergeCell ref="A4:O10"/>
    <mergeCell ref="D15:G15"/>
    <mergeCell ref="A17:A24"/>
    <mergeCell ref="B17:B24"/>
    <mergeCell ref="D26:G26"/>
    <mergeCell ref="A28:A35"/>
    <mergeCell ref="B28:B35"/>
    <mergeCell ref="A40:A47"/>
    <mergeCell ref="B40:B47"/>
    <mergeCell ref="A60:A61"/>
    <mergeCell ref="C60:C61"/>
    <mergeCell ref="D60:D61"/>
    <mergeCell ref="A62:B69"/>
    <mergeCell ref="A72:A79"/>
    <mergeCell ref="B72:B79"/>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120:B127"/>
    <mergeCell ref="A129:A130"/>
    <mergeCell ref="B129:B130"/>
    <mergeCell ref="A131:A137"/>
    <mergeCell ref="B131:B137"/>
    <mergeCell ref="I176:O176"/>
    <mergeCell ref="C142:C143"/>
    <mergeCell ref="J142:N142"/>
    <mergeCell ref="A144:B151"/>
    <mergeCell ref="A153:A154"/>
    <mergeCell ref="B153:B154"/>
    <mergeCell ref="C153:C154"/>
    <mergeCell ref="A142:A143"/>
    <mergeCell ref="B142:B143"/>
    <mergeCell ref="A155:B162"/>
    <mergeCell ref="A165:B172"/>
    <mergeCell ref="A176:A177"/>
    <mergeCell ref="B176:B177"/>
    <mergeCell ref="C176:C177"/>
    <mergeCell ref="A178:A185"/>
    <mergeCell ref="B178:B185"/>
    <mergeCell ref="A187:A188"/>
    <mergeCell ref="B187:B188"/>
    <mergeCell ref="C187:C188"/>
    <mergeCell ref="H187:L187"/>
    <mergeCell ref="A189:A196"/>
    <mergeCell ref="B189:B196"/>
    <mergeCell ref="A202:B209"/>
    <mergeCell ref="B213:B219"/>
    <mergeCell ref="D187:G18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13" workbookViewId="0">
      <selection activeCell="D219" sqref="D219:F219"/>
    </sheetView>
  </sheetViews>
  <sheetFormatPr defaultColWidth="8.85546875" defaultRowHeight="15"/>
  <cols>
    <col min="1" max="1" width="91" customWidth="1"/>
    <col min="2" max="2" width="35" customWidth="1"/>
    <col min="3" max="3" width="16.140625" customWidth="1"/>
    <col min="4" max="4" width="12.7109375" customWidth="1"/>
    <col min="5" max="5" width="11.42578125" customWidth="1"/>
    <col min="6" max="6" width="12.140625" customWidth="1"/>
    <col min="7" max="7" width="17.7109375" customWidth="1"/>
    <col min="8" max="8" width="13.5703125" customWidth="1"/>
    <col min="9" max="9" width="9.140625" customWidth="1"/>
    <col min="10" max="10" width="13.7109375" customWidth="1"/>
    <col min="11" max="11" width="11" customWidth="1"/>
    <col min="12" max="12" width="9.85546875" customWidth="1"/>
    <col min="13" max="13" width="11.140625" customWidth="1"/>
    <col min="14" max="14" width="9.28515625" customWidth="1"/>
    <col min="15" max="15" width="10.140625" customWidth="1"/>
    <col min="16" max="25" width="13.7109375" customWidth="1"/>
  </cols>
  <sheetData>
    <row r="1" spans="1:25" s="1" customFormat="1" ht="31.5">
      <c r="A1" s="334" t="s">
        <v>0</v>
      </c>
      <c r="B1" s="1943" t="s">
        <v>491</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05" customHeight="1">
      <c r="A16" s="1692" t="s">
        <v>7</v>
      </c>
      <c r="B16" s="1693" t="s">
        <v>492</v>
      </c>
      <c r="C16" s="1694" t="s">
        <v>9</v>
      </c>
      <c r="D16" s="1695" t="s">
        <v>10</v>
      </c>
      <c r="E16" s="1696" t="s">
        <v>11</v>
      </c>
      <c r="F16" s="1696" t="s">
        <v>12</v>
      </c>
      <c r="G16" s="1697" t="s">
        <v>13</v>
      </c>
      <c r="H16" s="1698" t="s">
        <v>14</v>
      </c>
      <c r="I16" s="1699" t="s">
        <v>15</v>
      </c>
      <c r="J16" s="1699" t="s">
        <v>16</v>
      </c>
      <c r="K16" s="1699" t="s">
        <v>17</v>
      </c>
      <c r="L16" s="1699" t="s">
        <v>18</v>
      </c>
      <c r="M16" s="1700" t="s">
        <v>19</v>
      </c>
      <c r="N16" s="1699" t="s">
        <v>20</v>
      </c>
      <c r="O16" s="1701" t="s">
        <v>21</v>
      </c>
      <c r="P16" s="28"/>
      <c r="Q16" s="28"/>
      <c r="R16" s="28"/>
      <c r="S16" s="28"/>
      <c r="T16" s="28"/>
      <c r="U16" s="28"/>
      <c r="V16" s="28"/>
      <c r="W16" s="28"/>
      <c r="X16" s="28"/>
      <c r="Y16" s="28"/>
    </row>
    <row r="17" spans="1:25" ht="48" customHeight="1">
      <c r="A17" s="1939" t="s">
        <v>493</v>
      </c>
      <c r="B17" s="2386"/>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939"/>
      <c r="B18" s="2386"/>
      <c r="C18" s="36">
        <v>2015</v>
      </c>
      <c r="D18" s="37">
        <v>3</v>
      </c>
      <c r="E18" s="38"/>
      <c r="F18" s="38"/>
      <c r="G18" s="32">
        <f>SUM(D18:F18)</f>
        <v>3</v>
      </c>
      <c r="H18" s="39">
        <v>3</v>
      </c>
      <c r="I18" s="38"/>
      <c r="J18" s="38"/>
      <c r="K18" s="38"/>
      <c r="L18" s="38"/>
      <c r="M18" s="38"/>
      <c r="N18" s="38"/>
      <c r="O18" s="40"/>
      <c r="P18" s="35"/>
      <c r="Q18" s="35"/>
      <c r="R18" s="35"/>
      <c r="S18" s="35"/>
      <c r="T18" s="35"/>
      <c r="U18" s="35"/>
      <c r="V18" s="35"/>
      <c r="W18" s="35"/>
      <c r="X18" s="35"/>
      <c r="Y18" s="35"/>
    </row>
    <row r="19" spans="1:25">
      <c r="A19" s="1939"/>
      <c r="B19" s="2386"/>
      <c r="C19" s="36">
        <v>2016</v>
      </c>
      <c r="D19" s="37">
        <f>5+6+21</f>
        <v>32</v>
      </c>
      <c r="E19" s="38"/>
      <c r="F19" s="38"/>
      <c r="G19" s="32">
        <f t="shared" si="0"/>
        <v>32</v>
      </c>
      <c r="H19" s="39">
        <v>32</v>
      </c>
      <c r="I19" s="38"/>
      <c r="J19" s="38"/>
      <c r="K19" s="38"/>
      <c r="L19" s="38"/>
      <c r="M19" s="38"/>
      <c r="N19" s="38"/>
      <c r="O19" s="39"/>
      <c r="P19" s="35"/>
      <c r="Q19" s="35"/>
      <c r="R19" s="35"/>
      <c r="S19" s="35"/>
      <c r="T19" s="35"/>
      <c r="U19" s="35"/>
      <c r="V19" s="35"/>
      <c r="W19" s="35"/>
      <c r="X19" s="35"/>
      <c r="Y19" s="35"/>
    </row>
    <row r="20" spans="1:25">
      <c r="A20" s="1939"/>
      <c r="B20" s="2386"/>
      <c r="C20" s="36">
        <v>2017</v>
      </c>
      <c r="D20" s="37">
        <f>1+1+1+1+1+1+1+13</f>
        <v>20</v>
      </c>
      <c r="E20" s="38"/>
      <c r="F20" s="38"/>
      <c r="G20" s="32">
        <f t="shared" si="0"/>
        <v>20</v>
      </c>
      <c r="H20" s="39">
        <f>D20</f>
        <v>20</v>
      </c>
      <c r="I20" s="38"/>
      <c r="J20" s="38"/>
      <c r="K20" s="38"/>
      <c r="L20" s="38"/>
      <c r="M20" s="38"/>
      <c r="N20" s="38"/>
      <c r="O20" s="39"/>
      <c r="P20" s="35"/>
      <c r="Q20" s="35"/>
      <c r="R20" s="35"/>
      <c r="S20" s="35"/>
      <c r="T20" s="35"/>
      <c r="U20" s="35"/>
      <c r="V20" s="35"/>
      <c r="W20" s="35"/>
      <c r="X20" s="35"/>
      <c r="Y20" s="35"/>
    </row>
    <row r="21" spans="1:25">
      <c r="A21" s="1939"/>
      <c r="B21" s="2386"/>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939"/>
      <c r="B22" s="2386"/>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939"/>
      <c r="B23" s="2386"/>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255.75" customHeight="1" thickBot="1">
      <c r="A24" s="2236"/>
      <c r="B24" s="2388"/>
      <c r="C24" s="42" t="s">
        <v>13</v>
      </c>
      <c r="D24" s="43">
        <f>SUM(D17:D23)</f>
        <v>55</v>
      </c>
      <c r="E24" s="44">
        <f>SUM(E17:E23)</f>
        <v>0</v>
      </c>
      <c r="F24" s="44">
        <f>SUM(F17:F23)</f>
        <v>0</v>
      </c>
      <c r="G24" s="45">
        <f>SUM(D24:F24)</f>
        <v>55</v>
      </c>
      <c r="H24" s="46">
        <f>SUM(H17:H23)</f>
        <v>55</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939" t="s">
        <v>494</v>
      </c>
      <c r="B28" s="2386"/>
      <c r="C28" s="57">
        <v>2014</v>
      </c>
      <c r="D28" s="33"/>
      <c r="E28" s="31"/>
      <c r="F28" s="31"/>
      <c r="G28" s="58">
        <f>SUM(D28:F28)</f>
        <v>0</v>
      </c>
      <c r="H28" s="35"/>
      <c r="I28" s="35"/>
      <c r="J28" s="35"/>
      <c r="K28" s="35"/>
      <c r="L28" s="35"/>
      <c r="M28" s="35"/>
      <c r="N28" s="35"/>
      <c r="O28" s="35"/>
      <c r="P28" s="35"/>
      <c r="Q28" s="7"/>
    </row>
    <row r="29" spans="1:25">
      <c r="A29" s="1939"/>
      <c r="B29" s="2386"/>
      <c r="C29" s="59">
        <v>2015</v>
      </c>
      <c r="D29" s="39">
        <v>80</v>
      </c>
      <c r="E29" s="38"/>
      <c r="F29" s="38"/>
      <c r="G29" s="58">
        <f t="shared" ref="G29:G35" si="2">SUM(D29:F29)</f>
        <v>80</v>
      </c>
      <c r="H29" s="35"/>
      <c r="I29" s="35"/>
      <c r="J29" s="35"/>
      <c r="K29" s="35"/>
      <c r="L29" s="35"/>
      <c r="M29" s="35"/>
      <c r="N29" s="35"/>
      <c r="O29" s="35"/>
      <c r="P29" s="35"/>
      <c r="Q29" s="7"/>
    </row>
    <row r="30" spans="1:25">
      <c r="A30" s="1939"/>
      <c r="B30" s="2386"/>
      <c r="C30" s="59">
        <v>2016</v>
      </c>
      <c r="D30" s="39">
        <f>100+100+80+80+80+315</f>
        <v>755</v>
      </c>
      <c r="E30" s="38"/>
      <c r="F30" s="38"/>
      <c r="G30" s="58">
        <f t="shared" si="2"/>
        <v>755</v>
      </c>
      <c r="H30" s="35"/>
      <c r="I30" s="35"/>
      <c r="J30" s="35"/>
      <c r="K30" s="35"/>
      <c r="L30" s="35"/>
      <c r="M30" s="35"/>
      <c r="N30" s="35"/>
      <c r="O30" s="35"/>
      <c r="P30" s="35"/>
      <c r="Q30" s="7"/>
    </row>
    <row r="31" spans="1:25">
      <c r="A31" s="1939"/>
      <c r="B31" s="2386"/>
      <c r="C31" s="59">
        <v>2017</v>
      </c>
      <c r="D31" s="39">
        <f>19+72+117+74+60+80+50+113+54+61+25+44+80</f>
        <v>849</v>
      </c>
      <c r="E31" s="38"/>
      <c r="F31" s="38"/>
      <c r="G31" s="58">
        <f t="shared" si="2"/>
        <v>849</v>
      </c>
      <c r="H31" s="35"/>
      <c r="I31" s="35"/>
      <c r="J31" s="35"/>
      <c r="K31" s="35"/>
      <c r="L31" s="35"/>
      <c r="M31" s="35"/>
      <c r="N31" s="35"/>
      <c r="O31" s="35"/>
      <c r="P31" s="35"/>
      <c r="Q31" s="7"/>
    </row>
    <row r="32" spans="1:25">
      <c r="A32" s="1939"/>
      <c r="B32" s="2386"/>
      <c r="C32" s="59">
        <v>2018</v>
      </c>
      <c r="D32" s="39"/>
      <c r="E32" s="38"/>
      <c r="F32" s="38"/>
      <c r="G32" s="58">
        <f>SUM(D32:F32)</f>
        <v>0</v>
      </c>
      <c r="H32" s="35"/>
      <c r="I32" s="35"/>
      <c r="J32" s="35"/>
      <c r="K32" s="35"/>
      <c r="L32" s="35"/>
      <c r="M32" s="35"/>
      <c r="N32" s="35"/>
      <c r="O32" s="35"/>
      <c r="P32" s="35"/>
      <c r="Q32" s="7"/>
    </row>
    <row r="33" spans="1:17">
      <c r="A33" s="1939"/>
      <c r="B33" s="2386"/>
      <c r="C33" s="60">
        <v>2019</v>
      </c>
      <c r="D33" s="39"/>
      <c r="E33" s="38"/>
      <c r="F33" s="38"/>
      <c r="G33" s="58">
        <f t="shared" si="2"/>
        <v>0</v>
      </c>
      <c r="H33" s="35"/>
      <c r="I33" s="35"/>
      <c r="J33" s="35"/>
      <c r="K33" s="35"/>
      <c r="L33" s="35"/>
      <c r="M33" s="35"/>
      <c r="N33" s="35"/>
      <c r="O33" s="35"/>
      <c r="P33" s="35"/>
      <c r="Q33" s="7"/>
    </row>
    <row r="34" spans="1:17">
      <c r="A34" s="1939"/>
      <c r="B34" s="2386"/>
      <c r="C34" s="59">
        <v>2020</v>
      </c>
      <c r="D34" s="39"/>
      <c r="E34" s="38"/>
      <c r="F34" s="38"/>
      <c r="G34" s="58">
        <f t="shared" si="2"/>
        <v>0</v>
      </c>
      <c r="H34" s="35"/>
      <c r="I34" s="35"/>
      <c r="J34" s="35"/>
      <c r="K34" s="35"/>
      <c r="L34" s="35"/>
      <c r="M34" s="35"/>
      <c r="N34" s="35"/>
      <c r="O34" s="35"/>
      <c r="P34" s="35"/>
      <c r="Q34" s="7"/>
    </row>
    <row r="35" spans="1:17" ht="294.75" customHeight="1" thickBot="1">
      <c r="A35" s="2236"/>
      <c r="B35" s="2388"/>
      <c r="C35" s="61" t="s">
        <v>13</v>
      </c>
      <c r="D35" s="46">
        <f>SUM(D28:D34)</f>
        <v>1684</v>
      </c>
      <c r="E35" s="44">
        <f>SUM(E28:E34)</f>
        <v>0</v>
      </c>
      <c r="F35" s="44">
        <f>SUM(F28:F34)</f>
        <v>0</v>
      </c>
      <c r="G35" s="48">
        <f t="shared" si="2"/>
        <v>1684</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t="s">
        <v>495</v>
      </c>
      <c r="B40" s="1855"/>
      <c r="C40" s="72">
        <v>2014</v>
      </c>
      <c r="D40" s="30"/>
      <c r="E40" s="29"/>
      <c r="F40" s="7"/>
      <c r="G40" s="35"/>
      <c r="H40" s="35"/>
    </row>
    <row r="41" spans="1:17">
      <c r="A41" s="1854"/>
      <c r="B41" s="1855"/>
      <c r="C41" s="73">
        <v>2015</v>
      </c>
      <c r="D41" s="37"/>
      <c r="E41" s="36"/>
      <c r="F41" s="7"/>
      <c r="G41" s="35"/>
      <c r="H41" s="35"/>
    </row>
    <row r="42" spans="1:17">
      <c r="A42" s="1854"/>
      <c r="B42" s="1855"/>
      <c r="C42" s="73">
        <v>2016</v>
      </c>
      <c r="D42" s="584">
        <v>8185</v>
      </c>
      <c r="E42" s="585">
        <v>1364</v>
      </c>
      <c r="F42" s="7"/>
      <c r="G42" s="35"/>
      <c r="H42" s="35"/>
    </row>
    <row r="43" spans="1:17">
      <c r="A43" s="1854"/>
      <c r="B43" s="1855"/>
      <c r="C43" s="73">
        <v>2017</v>
      </c>
      <c r="D43" s="584">
        <v>33820</v>
      </c>
      <c r="E43" s="585">
        <v>5250</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42005</v>
      </c>
      <c r="E47" s="455">
        <f>SUM(E40:E46)</f>
        <v>6614</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2587" t="s">
        <v>496</v>
      </c>
      <c r="B50" s="2636"/>
      <c r="C50" s="87" t="s">
        <v>43</v>
      </c>
      <c r="D50" s="30"/>
      <c r="E50" s="31"/>
      <c r="F50" s="31"/>
      <c r="G50" s="31"/>
      <c r="H50" s="31"/>
      <c r="I50" s="31"/>
      <c r="J50" s="31"/>
      <c r="K50" s="34"/>
    </row>
    <row r="51" spans="1:15" ht="15" customHeight="1">
      <c r="A51" s="2588"/>
      <c r="B51" s="2032"/>
      <c r="C51" s="73">
        <v>2014</v>
      </c>
      <c r="D51" s="37"/>
      <c r="E51" s="38"/>
      <c r="F51" s="38"/>
      <c r="G51" s="38"/>
      <c r="H51" s="38"/>
      <c r="I51" s="38"/>
      <c r="J51" s="38"/>
      <c r="K51" s="88"/>
    </row>
    <row r="52" spans="1:15">
      <c r="A52" s="2588"/>
      <c r="B52" s="2032"/>
      <c r="C52" s="73">
        <v>2015</v>
      </c>
      <c r="D52" s="37"/>
      <c r="E52" s="38"/>
      <c r="F52" s="38"/>
      <c r="G52" s="38"/>
      <c r="H52" s="38"/>
      <c r="I52" s="38"/>
      <c r="J52" s="38"/>
      <c r="K52" s="88"/>
    </row>
    <row r="53" spans="1:15">
      <c r="A53" s="2588"/>
      <c r="B53" s="2032"/>
      <c r="C53" s="73">
        <v>2016</v>
      </c>
      <c r="D53" s="37"/>
      <c r="E53" s="38"/>
      <c r="F53" s="38"/>
      <c r="G53" s="38"/>
      <c r="H53" s="38"/>
      <c r="I53" s="38"/>
      <c r="J53" s="38"/>
      <c r="K53" s="88"/>
    </row>
    <row r="54" spans="1:15">
      <c r="A54" s="2588"/>
      <c r="B54" s="2032"/>
      <c r="C54" s="73">
        <v>2017</v>
      </c>
      <c r="D54" s="37">
        <v>1</v>
      </c>
      <c r="E54" s="38"/>
      <c r="F54" s="38"/>
      <c r="G54" s="38"/>
      <c r="H54" s="38"/>
      <c r="I54" s="38"/>
      <c r="J54" s="38"/>
      <c r="K54" s="88"/>
    </row>
    <row r="55" spans="1:15">
      <c r="A55" s="2588"/>
      <c r="B55" s="2032"/>
      <c r="C55" s="73">
        <v>2018</v>
      </c>
      <c r="D55" s="37"/>
      <c r="E55" s="38"/>
      <c r="F55" s="38"/>
      <c r="G55" s="38"/>
      <c r="H55" s="38"/>
      <c r="I55" s="38"/>
      <c r="J55" s="38"/>
      <c r="K55" s="88"/>
    </row>
    <row r="56" spans="1:15">
      <c r="A56" s="2588"/>
      <c r="B56" s="2032"/>
      <c r="C56" s="73">
        <v>2019</v>
      </c>
      <c r="D56" s="37"/>
      <c r="E56" s="38"/>
      <c r="F56" s="38"/>
      <c r="G56" s="38"/>
      <c r="H56" s="38"/>
      <c r="I56" s="38"/>
      <c r="J56" s="38"/>
      <c r="K56" s="88"/>
    </row>
    <row r="57" spans="1:15">
      <c r="A57" s="2588"/>
      <c r="B57" s="2032"/>
      <c r="C57" s="73">
        <v>2020</v>
      </c>
      <c r="D57" s="37"/>
      <c r="E57" s="38"/>
      <c r="F57" s="38"/>
      <c r="G57" s="38"/>
      <c r="H57" s="38"/>
      <c r="I57" s="38"/>
      <c r="J57" s="38"/>
      <c r="K57" s="93"/>
    </row>
    <row r="58" spans="1:15" ht="20.25" customHeight="1" thickBot="1">
      <c r="A58" s="2589"/>
      <c r="B58" s="2033"/>
      <c r="C58" s="42" t="s">
        <v>13</v>
      </c>
      <c r="D58" s="43">
        <f>SUM(D51:D57)</f>
        <v>1</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212" t="s">
        <v>497</v>
      </c>
      <c r="B62" s="2092"/>
      <c r="C62" s="106">
        <v>2014</v>
      </c>
      <c r="D62" s="107"/>
      <c r="E62" s="108"/>
      <c r="F62" s="109"/>
      <c r="G62" s="109"/>
      <c r="H62" s="109"/>
      <c r="I62" s="109"/>
      <c r="J62" s="109"/>
      <c r="K62" s="109"/>
      <c r="L62" s="34"/>
      <c r="M62" s="7"/>
      <c r="N62" s="7"/>
      <c r="O62" s="7"/>
    </row>
    <row r="63" spans="1:15">
      <c r="A63" s="2212"/>
      <c r="B63" s="2092"/>
      <c r="C63" s="110">
        <v>2015</v>
      </c>
      <c r="D63" s="111">
        <v>1</v>
      </c>
      <c r="E63" s="112">
        <v>1</v>
      </c>
      <c r="F63" s="38"/>
      <c r="G63" s="38"/>
      <c r="H63" s="38"/>
      <c r="I63" s="38"/>
      <c r="J63" s="38"/>
      <c r="K63" s="38"/>
      <c r="L63" s="88"/>
      <c r="M63" s="7"/>
      <c r="N63" s="7"/>
      <c r="O63" s="7"/>
    </row>
    <row r="64" spans="1:15">
      <c r="A64" s="2212"/>
      <c r="B64" s="2092"/>
      <c r="C64" s="110">
        <v>2016</v>
      </c>
      <c r="D64" s="111">
        <v>4</v>
      </c>
      <c r="E64" s="112">
        <v>4</v>
      </c>
      <c r="F64" s="38"/>
      <c r="G64" s="38"/>
      <c r="H64" s="38"/>
      <c r="I64" s="38"/>
      <c r="J64" s="38"/>
      <c r="K64" s="38"/>
      <c r="L64" s="88"/>
      <c r="M64" s="7"/>
      <c r="N64" s="7"/>
      <c r="O64" s="7"/>
    </row>
    <row r="65" spans="1:20">
      <c r="A65" s="2212"/>
      <c r="B65" s="2092"/>
      <c r="C65" s="110">
        <v>2017</v>
      </c>
      <c r="D65" s="111">
        <f>1+1</f>
        <v>2</v>
      </c>
      <c r="E65" s="112">
        <f>1+1</f>
        <v>2</v>
      </c>
      <c r="F65" s="38"/>
      <c r="G65" s="38"/>
      <c r="H65" s="38"/>
      <c r="I65" s="38"/>
      <c r="J65" s="38"/>
      <c r="K65" s="38"/>
      <c r="L65" s="88"/>
      <c r="M65" s="7"/>
      <c r="N65" s="7"/>
      <c r="O65" s="7"/>
    </row>
    <row r="66" spans="1:20">
      <c r="A66" s="2212"/>
      <c r="B66" s="2092"/>
      <c r="C66" s="110">
        <v>2018</v>
      </c>
      <c r="D66" s="111"/>
      <c r="E66" s="112"/>
      <c r="F66" s="38"/>
      <c r="G66" s="38"/>
      <c r="H66" s="38"/>
      <c r="I66" s="38"/>
      <c r="J66" s="38"/>
      <c r="K66" s="38"/>
      <c r="L66" s="88"/>
      <c r="M66" s="7"/>
      <c r="N66" s="7"/>
      <c r="O66" s="7"/>
    </row>
    <row r="67" spans="1:20" ht="17.25" customHeight="1">
      <c r="A67" s="2212"/>
      <c r="B67" s="2092"/>
      <c r="C67" s="110">
        <v>2019</v>
      </c>
      <c r="D67" s="111"/>
      <c r="E67" s="112"/>
      <c r="F67" s="38"/>
      <c r="G67" s="38"/>
      <c r="H67" s="38"/>
      <c r="I67" s="38"/>
      <c r="J67" s="38"/>
      <c r="K67" s="38"/>
      <c r="L67" s="88"/>
      <c r="M67" s="7"/>
      <c r="N67" s="7"/>
      <c r="O67" s="7"/>
    </row>
    <row r="68" spans="1:20" ht="16.5" customHeight="1">
      <c r="A68" s="2212"/>
      <c r="B68" s="2092"/>
      <c r="C68" s="110">
        <v>2020</v>
      </c>
      <c r="D68" s="111"/>
      <c r="E68" s="112"/>
      <c r="F68" s="38"/>
      <c r="G68" s="38"/>
      <c r="H68" s="38"/>
      <c r="I68" s="38"/>
      <c r="J68" s="38"/>
      <c r="K68" s="38"/>
      <c r="L68" s="88"/>
      <c r="M68" s="78"/>
      <c r="N68" s="78"/>
      <c r="O68" s="78"/>
    </row>
    <row r="69" spans="1:20" ht="18" customHeight="1" thickBot="1">
      <c r="A69" s="2220"/>
      <c r="B69" s="2093"/>
      <c r="C69" s="113" t="s">
        <v>13</v>
      </c>
      <c r="D69" s="114">
        <f>SUM(D62:D68)</f>
        <v>7</v>
      </c>
      <c r="E69" s="115">
        <f>SUM(E62:E68)</f>
        <v>7</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632" t="s">
        <v>68</v>
      </c>
      <c r="B96" s="2634" t="s">
        <v>498</v>
      </c>
      <c r="C96" s="2630" t="s">
        <v>9</v>
      </c>
      <c r="D96" s="2628" t="s">
        <v>70</v>
      </c>
      <c r="E96" s="2629"/>
      <c r="F96" s="1702" t="s">
        <v>71</v>
      </c>
      <c r="G96" s="1703"/>
      <c r="H96" s="1703"/>
      <c r="I96" s="1703"/>
      <c r="J96" s="1703"/>
      <c r="K96" s="1703"/>
      <c r="L96" s="1703"/>
      <c r="M96" s="1704"/>
      <c r="N96" s="165"/>
      <c r="O96" s="165"/>
      <c r="P96" s="165"/>
    </row>
    <row r="97" spans="1:16" ht="100.5" customHeight="1">
      <c r="A97" s="2633"/>
      <c r="B97" s="2635"/>
      <c r="C97" s="2631"/>
      <c r="D97" s="1705" t="s">
        <v>72</v>
      </c>
      <c r="E97" s="1706" t="s">
        <v>73</v>
      </c>
      <c r="F97" s="1707" t="s">
        <v>14</v>
      </c>
      <c r="G97" s="1708" t="s">
        <v>74</v>
      </c>
      <c r="H97" s="1708" t="s">
        <v>61</v>
      </c>
      <c r="I97" s="1709" t="s">
        <v>62</v>
      </c>
      <c r="J97" s="1709" t="s">
        <v>63</v>
      </c>
      <c r="K97" s="1710" t="s">
        <v>75</v>
      </c>
      <c r="L97" s="1708" t="s">
        <v>64</v>
      </c>
      <c r="M97" s="1711"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212" t="s">
        <v>499</v>
      </c>
      <c r="B109" s="2092"/>
      <c r="C109" s="106">
        <v>2014</v>
      </c>
      <c r="D109" s="31"/>
      <c r="E109" s="174"/>
      <c r="F109" s="175"/>
      <c r="G109" s="175"/>
      <c r="H109" s="175"/>
      <c r="I109" s="175"/>
      <c r="J109" s="175"/>
      <c r="K109" s="175"/>
      <c r="L109" s="176"/>
      <c r="M109" s="185"/>
      <c r="N109" s="185"/>
    </row>
    <row r="110" spans="1:16">
      <c r="A110" s="2212"/>
      <c r="B110" s="2092"/>
      <c r="C110" s="110">
        <v>2015</v>
      </c>
      <c r="D110" s="38">
        <v>8</v>
      </c>
      <c r="E110" s="177"/>
      <c r="F110" s="178"/>
      <c r="G110" s="178"/>
      <c r="H110" s="178"/>
      <c r="I110" s="178"/>
      <c r="J110" s="178"/>
      <c r="K110" s="178"/>
      <c r="L110" s="179">
        <v>8</v>
      </c>
      <c r="M110" s="185"/>
      <c r="N110" s="185"/>
    </row>
    <row r="111" spans="1:16" ht="12.75" customHeight="1">
      <c r="A111" s="2212"/>
      <c r="B111" s="2092"/>
      <c r="C111" s="110">
        <v>2016</v>
      </c>
      <c r="D111" s="38">
        <v>3</v>
      </c>
      <c r="E111" s="177"/>
      <c r="F111" s="178"/>
      <c r="G111" s="178"/>
      <c r="H111" s="178"/>
      <c r="I111" s="178"/>
      <c r="J111" s="178"/>
      <c r="K111" s="178"/>
      <c r="L111" s="179">
        <f>D111</f>
        <v>3</v>
      </c>
      <c r="M111" s="185"/>
      <c r="N111" s="185"/>
    </row>
    <row r="112" spans="1:16" hidden="1">
      <c r="A112" s="2212"/>
      <c r="B112" s="2092"/>
      <c r="C112" s="110">
        <v>2017</v>
      </c>
      <c r="D112" s="38">
        <f>1+1+1+1</f>
        <v>4</v>
      </c>
      <c r="E112" s="177"/>
      <c r="F112" s="178"/>
      <c r="G112" s="178"/>
      <c r="H112" s="178"/>
      <c r="I112" s="178"/>
      <c r="J112" s="178"/>
      <c r="K112" s="178"/>
      <c r="L112" s="179">
        <f t="shared" ref="L112:L113" si="9">D112</f>
        <v>4</v>
      </c>
      <c r="M112" s="185"/>
      <c r="N112" s="185"/>
    </row>
    <row r="113" spans="1:14">
      <c r="A113" s="2212"/>
      <c r="B113" s="2092"/>
      <c r="C113" s="110">
        <v>2017</v>
      </c>
      <c r="D113" s="38">
        <f>4+10</f>
        <v>14</v>
      </c>
      <c r="E113" s="177"/>
      <c r="F113" s="178"/>
      <c r="G113" s="178"/>
      <c r="H113" s="178"/>
      <c r="I113" s="178"/>
      <c r="J113" s="178"/>
      <c r="K113" s="178"/>
      <c r="L113" s="179">
        <f t="shared" si="9"/>
        <v>14</v>
      </c>
      <c r="M113" s="185"/>
      <c r="N113" s="185"/>
    </row>
    <row r="114" spans="1:14">
      <c r="A114" s="2212"/>
      <c r="B114" s="2092"/>
      <c r="C114" s="110">
        <v>2018</v>
      </c>
      <c r="D114" s="38"/>
      <c r="E114" s="177"/>
      <c r="F114" s="178"/>
      <c r="G114" s="178"/>
      <c r="H114" s="178"/>
      <c r="I114" s="178"/>
      <c r="J114" s="178"/>
      <c r="K114" s="178"/>
      <c r="L114" s="179"/>
      <c r="M114" s="185"/>
      <c r="N114" s="185"/>
    </row>
    <row r="115" spans="1:14">
      <c r="A115" s="2212"/>
      <c r="B115" s="2092"/>
      <c r="C115" s="110">
        <v>2019</v>
      </c>
      <c r="D115" s="38"/>
      <c r="E115" s="177"/>
      <c r="F115" s="178"/>
      <c r="G115" s="178"/>
      <c r="H115" s="178"/>
      <c r="I115" s="178"/>
      <c r="J115" s="178"/>
      <c r="K115" s="178"/>
      <c r="L115" s="179"/>
      <c r="M115" s="185"/>
      <c r="N115" s="185"/>
    </row>
    <row r="116" spans="1:14" ht="246.75" customHeight="1" thickBot="1">
      <c r="A116" s="2499"/>
      <c r="B116" s="2093"/>
      <c r="C116" s="113" t="s">
        <v>13</v>
      </c>
      <c r="D116" s="116">
        <f t="shared" ref="D116:I116" si="10">SUM(D109:D115)</f>
        <v>29</v>
      </c>
      <c r="E116" s="180">
        <f t="shared" si="10"/>
        <v>0</v>
      </c>
      <c r="F116" s="181">
        <f t="shared" si="10"/>
        <v>0</v>
      </c>
      <c r="G116" s="181">
        <f t="shared" si="10"/>
        <v>0</v>
      </c>
      <c r="H116" s="181">
        <f t="shared" si="10"/>
        <v>0</v>
      </c>
      <c r="I116" s="181">
        <f t="shared" si="10"/>
        <v>0</v>
      </c>
      <c r="J116" s="181"/>
      <c r="K116" s="181">
        <f>SUM(K109:K115)</f>
        <v>0</v>
      </c>
      <c r="L116" s="182">
        <f>SUM(L109:L115)</f>
        <v>29</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t="s">
        <v>500</v>
      </c>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v>6</v>
      </c>
      <c r="E122" s="177"/>
      <c r="F122" s="178"/>
      <c r="G122" s="178"/>
      <c r="H122" s="178"/>
      <c r="I122" s="178"/>
      <c r="J122" s="178"/>
      <c r="K122" s="178"/>
      <c r="L122" s="179">
        <v>6</v>
      </c>
      <c r="M122" s="185"/>
      <c r="N122" s="185"/>
    </row>
    <row r="123" spans="1:14">
      <c r="A123" s="1891"/>
      <c r="B123" s="1899"/>
      <c r="C123" s="110">
        <v>2017</v>
      </c>
      <c r="D123" s="38">
        <f>2+1+1+1+2</f>
        <v>7</v>
      </c>
      <c r="E123" s="177"/>
      <c r="F123" s="178"/>
      <c r="G123" s="178"/>
      <c r="H123" s="178"/>
      <c r="I123" s="178"/>
      <c r="J123" s="178"/>
      <c r="K123" s="178"/>
      <c r="L123" s="179">
        <v>7</v>
      </c>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267" customHeight="1" thickBot="1">
      <c r="A127" s="1915"/>
      <c r="B127" s="1900"/>
      <c r="C127" s="113" t="s">
        <v>13</v>
      </c>
      <c r="D127" s="116">
        <f t="shared" ref="D127:I127" si="11">SUM(D120:D126)</f>
        <v>13</v>
      </c>
      <c r="E127" s="180">
        <f t="shared" si="11"/>
        <v>0</v>
      </c>
      <c r="F127" s="181">
        <f t="shared" si="11"/>
        <v>0</v>
      </c>
      <c r="G127" s="181">
        <f t="shared" si="11"/>
        <v>0</v>
      </c>
      <c r="H127" s="181">
        <f t="shared" si="11"/>
        <v>0</v>
      </c>
      <c r="I127" s="181">
        <f t="shared" si="11"/>
        <v>0</v>
      </c>
      <c r="J127" s="181"/>
      <c r="K127" s="181">
        <f>SUM(K120:K126)</f>
        <v>0</v>
      </c>
      <c r="L127" s="182">
        <f>SUM(L120:L126)</f>
        <v>13</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c r="A131" s="1874" t="s">
        <v>501</v>
      </c>
      <c r="B131" s="1855"/>
      <c r="C131" s="106">
        <v>2015</v>
      </c>
      <c r="D131" s="30"/>
      <c r="E131" s="31"/>
      <c r="F131" s="31"/>
      <c r="G131" s="195">
        <f t="shared" ref="G131:G136" si="12">SUM(D131:F131)</f>
        <v>0</v>
      </c>
      <c r="H131" s="185"/>
      <c r="I131" s="185"/>
      <c r="J131" s="185"/>
      <c r="K131" s="185"/>
      <c r="L131" s="185"/>
      <c r="M131" s="185"/>
      <c r="N131" s="185"/>
    </row>
    <row r="132" spans="1:16">
      <c r="A132" s="1854"/>
      <c r="B132" s="1855"/>
      <c r="C132" s="110">
        <v>2016</v>
      </c>
      <c r="D132" s="37"/>
      <c r="E132" s="38">
        <v>13</v>
      </c>
      <c r="F132" s="38"/>
      <c r="G132" s="195">
        <f t="shared" si="12"/>
        <v>13</v>
      </c>
      <c r="H132" s="185"/>
      <c r="I132" s="185"/>
      <c r="J132" s="185"/>
      <c r="K132" s="185"/>
      <c r="L132" s="185"/>
      <c r="M132" s="185"/>
      <c r="N132" s="185"/>
    </row>
    <row r="133" spans="1:16">
      <c r="A133" s="1854"/>
      <c r="B133" s="1855"/>
      <c r="C133" s="110">
        <v>2017</v>
      </c>
      <c r="D133" s="37"/>
      <c r="E133" s="38">
        <f>11+9+3+8+6</f>
        <v>37</v>
      </c>
      <c r="F133" s="38"/>
      <c r="G133" s="195">
        <f t="shared" si="12"/>
        <v>37</v>
      </c>
      <c r="H133" s="185"/>
      <c r="I133" s="185"/>
      <c r="J133" s="185"/>
      <c r="K133" s="185"/>
      <c r="L133" s="185"/>
      <c r="M133" s="185"/>
      <c r="N133" s="185"/>
    </row>
    <row r="134" spans="1:16">
      <c r="A134" s="1854"/>
      <c r="B134" s="1855"/>
      <c r="C134" s="110">
        <v>2018</v>
      </c>
      <c r="D134" s="37"/>
      <c r="E134" s="38"/>
      <c r="F134" s="38"/>
      <c r="G134" s="195">
        <f t="shared" si="12"/>
        <v>0</v>
      </c>
      <c r="H134" s="185"/>
      <c r="I134" s="185"/>
      <c r="J134" s="185"/>
      <c r="K134" s="185"/>
      <c r="L134" s="185"/>
      <c r="M134" s="185"/>
      <c r="N134" s="185"/>
    </row>
    <row r="135" spans="1:16">
      <c r="A135" s="1854"/>
      <c r="B135" s="1855"/>
      <c r="C135" s="110">
        <v>2019</v>
      </c>
      <c r="D135" s="37"/>
      <c r="E135" s="38"/>
      <c r="F135" s="38"/>
      <c r="G135" s="195">
        <f t="shared" si="12"/>
        <v>0</v>
      </c>
      <c r="H135" s="185"/>
      <c r="I135" s="185"/>
      <c r="J135" s="185"/>
      <c r="K135" s="185"/>
      <c r="L135" s="185"/>
      <c r="M135" s="185"/>
      <c r="N135" s="185"/>
    </row>
    <row r="136" spans="1:16">
      <c r="A136" s="1854"/>
      <c r="B136" s="1855"/>
      <c r="C136" s="110">
        <v>2020</v>
      </c>
      <c r="D136" s="37"/>
      <c r="E136" s="38"/>
      <c r="F136" s="38"/>
      <c r="G136" s="195">
        <f t="shared" si="12"/>
        <v>0</v>
      </c>
      <c r="H136" s="185"/>
      <c r="I136" s="185"/>
      <c r="J136" s="185"/>
      <c r="K136" s="185"/>
      <c r="L136" s="185"/>
      <c r="M136" s="185"/>
      <c r="N136" s="185"/>
    </row>
    <row r="137" spans="1:16" ht="294.75" customHeight="1" thickBot="1">
      <c r="A137" s="1856"/>
      <c r="B137" s="1857"/>
      <c r="C137" s="113" t="s">
        <v>13</v>
      </c>
      <c r="D137" s="139">
        <f>SUM(D131:D136)</f>
        <v>0</v>
      </c>
      <c r="E137" s="139">
        <f t="shared" ref="E137:F137" si="13">SUM(E131:E136)</f>
        <v>50</v>
      </c>
      <c r="F137" s="139">
        <f t="shared" si="13"/>
        <v>0</v>
      </c>
      <c r="G137" s="196">
        <f>SUM(G131:G136)</f>
        <v>50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4">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4"/>
        <v>0</v>
      </c>
      <c r="J146" s="217"/>
      <c r="K146" s="218"/>
      <c r="L146" s="217"/>
      <c r="M146" s="218"/>
      <c r="N146" s="219"/>
      <c r="O146" s="165"/>
      <c r="P146" s="165"/>
    </row>
    <row r="147" spans="1:16" ht="17.25" customHeight="1">
      <c r="A147" s="1891"/>
      <c r="B147" s="1899"/>
      <c r="C147" s="110">
        <v>2017</v>
      </c>
      <c r="D147" s="37"/>
      <c r="E147" s="37"/>
      <c r="F147" s="38"/>
      <c r="G147" s="178"/>
      <c r="H147" s="178"/>
      <c r="I147" s="213">
        <f t="shared" si="14"/>
        <v>0</v>
      </c>
      <c r="J147" s="217"/>
      <c r="K147" s="218"/>
      <c r="L147" s="217"/>
      <c r="M147" s="218"/>
      <c r="N147" s="219"/>
      <c r="O147" s="165"/>
      <c r="P147" s="165"/>
    </row>
    <row r="148" spans="1:16" ht="19.5" customHeight="1">
      <c r="A148" s="1891"/>
      <c r="B148" s="1899"/>
      <c r="C148" s="110">
        <v>2018</v>
      </c>
      <c r="D148" s="37"/>
      <c r="E148" s="37"/>
      <c r="F148" s="38"/>
      <c r="G148" s="178"/>
      <c r="H148" s="178"/>
      <c r="I148" s="213">
        <f t="shared" si="14"/>
        <v>0</v>
      </c>
      <c r="J148" s="217"/>
      <c r="K148" s="218"/>
      <c r="L148" s="217"/>
      <c r="M148" s="218"/>
      <c r="N148" s="219"/>
      <c r="O148" s="165"/>
      <c r="P148" s="165"/>
    </row>
    <row r="149" spans="1:16" ht="19.5" customHeight="1">
      <c r="A149" s="1891"/>
      <c r="B149" s="1899"/>
      <c r="C149" s="110">
        <v>2019</v>
      </c>
      <c r="D149" s="37"/>
      <c r="E149" s="37"/>
      <c r="F149" s="38"/>
      <c r="G149" s="178"/>
      <c r="H149" s="178"/>
      <c r="I149" s="213">
        <f t="shared" si="14"/>
        <v>0</v>
      </c>
      <c r="J149" s="217"/>
      <c r="K149" s="218"/>
      <c r="L149" s="217"/>
      <c r="M149" s="218"/>
      <c r="N149" s="219"/>
      <c r="O149" s="165"/>
      <c r="P149" s="165"/>
    </row>
    <row r="150" spans="1:16" ht="18.75" customHeight="1">
      <c r="A150" s="1891"/>
      <c r="B150" s="1899"/>
      <c r="C150" s="110">
        <v>2020</v>
      </c>
      <c r="D150" s="37"/>
      <c r="E150" s="37"/>
      <c r="F150" s="38"/>
      <c r="G150" s="178"/>
      <c r="H150" s="178"/>
      <c r="I150" s="213">
        <f t="shared" si="14"/>
        <v>0</v>
      </c>
      <c r="J150" s="217"/>
      <c r="K150" s="218"/>
      <c r="L150" s="217"/>
      <c r="M150" s="218"/>
      <c r="N150" s="219"/>
      <c r="O150" s="165"/>
      <c r="P150" s="165"/>
    </row>
    <row r="151" spans="1:16" ht="18" customHeight="1" thickBot="1">
      <c r="A151" s="1893"/>
      <c r="B151" s="1900"/>
      <c r="C151" s="113" t="s">
        <v>13</v>
      </c>
      <c r="D151" s="139">
        <f>SUM(D144:D150)</f>
        <v>0</v>
      </c>
      <c r="E151" s="139">
        <f t="shared" ref="E151:I151" si="15">SUM(E144:E150)</f>
        <v>0</v>
      </c>
      <c r="F151" s="139">
        <f t="shared" si="15"/>
        <v>0</v>
      </c>
      <c r="G151" s="139">
        <f t="shared" si="15"/>
        <v>0</v>
      </c>
      <c r="H151" s="139">
        <f t="shared" si="15"/>
        <v>0</v>
      </c>
      <c r="I151" s="220">
        <f t="shared" si="15"/>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6">SUM(D156:F156)</f>
        <v>0</v>
      </c>
      <c r="H156" s="217"/>
      <c r="I156" s="178"/>
      <c r="J156" s="179"/>
      <c r="O156" s="165"/>
      <c r="P156" s="165"/>
    </row>
    <row r="157" spans="1:16" ht="17.25" customHeight="1">
      <c r="A157" s="1891"/>
      <c r="B157" s="1899"/>
      <c r="C157" s="234">
        <v>2016</v>
      </c>
      <c r="D157" s="217"/>
      <c r="E157" s="178"/>
      <c r="F157" s="218"/>
      <c r="G157" s="213">
        <f t="shared" si="16"/>
        <v>0</v>
      </c>
      <c r="H157" s="217"/>
      <c r="I157" s="178"/>
      <c r="J157" s="179"/>
      <c r="O157" s="165"/>
      <c r="P157" s="165"/>
    </row>
    <row r="158" spans="1:16" ht="15" customHeight="1">
      <c r="A158" s="1891"/>
      <c r="B158" s="1899"/>
      <c r="C158" s="234">
        <v>2017</v>
      </c>
      <c r="D158" s="217"/>
      <c r="E158" s="178"/>
      <c r="F158" s="218"/>
      <c r="G158" s="213">
        <f t="shared" si="16"/>
        <v>0</v>
      </c>
      <c r="H158" s="217"/>
      <c r="I158" s="178"/>
      <c r="J158" s="179"/>
      <c r="O158" s="165"/>
      <c r="P158" s="165"/>
    </row>
    <row r="159" spans="1:16" ht="19.5" customHeight="1">
      <c r="A159" s="1891"/>
      <c r="B159" s="1899"/>
      <c r="C159" s="234">
        <v>2018</v>
      </c>
      <c r="D159" s="217"/>
      <c r="E159" s="178"/>
      <c r="F159" s="218"/>
      <c r="G159" s="213">
        <f t="shared" si="16"/>
        <v>0</v>
      </c>
      <c r="H159" s="217"/>
      <c r="I159" s="178"/>
      <c r="J159" s="179"/>
      <c r="O159" s="165"/>
      <c r="P159" s="165"/>
    </row>
    <row r="160" spans="1:16" ht="15" customHeight="1">
      <c r="A160" s="1891"/>
      <c r="B160" s="1899"/>
      <c r="C160" s="234">
        <v>2019</v>
      </c>
      <c r="D160" s="217"/>
      <c r="E160" s="178"/>
      <c r="F160" s="218"/>
      <c r="G160" s="213">
        <f t="shared" si="16"/>
        <v>0</v>
      </c>
      <c r="H160" s="217"/>
      <c r="I160" s="178"/>
      <c r="J160" s="179"/>
      <c r="O160" s="165"/>
      <c r="P160" s="165"/>
    </row>
    <row r="161" spans="1:18" ht="17.25" customHeight="1">
      <c r="A161" s="1891"/>
      <c r="B161" s="1899"/>
      <c r="C161" s="234">
        <v>2020</v>
      </c>
      <c r="D161" s="217"/>
      <c r="E161" s="178"/>
      <c r="F161" s="218"/>
      <c r="G161" s="213">
        <f t="shared" si="16"/>
        <v>0</v>
      </c>
      <c r="H161" s="217"/>
      <c r="I161" s="178"/>
      <c r="J161" s="179"/>
      <c r="O161" s="165"/>
      <c r="P161" s="165"/>
    </row>
    <row r="162" spans="1:18" ht="15.75" thickBot="1">
      <c r="A162" s="1893"/>
      <c r="B162" s="1900"/>
      <c r="C162" s="235" t="s">
        <v>13</v>
      </c>
      <c r="D162" s="221">
        <f t="shared" ref="D162:G162" si="17">SUM(D155:D161)</f>
        <v>0</v>
      </c>
      <c r="E162" s="181">
        <f t="shared" si="17"/>
        <v>0</v>
      </c>
      <c r="F162" s="222">
        <f t="shared" si="17"/>
        <v>0</v>
      </c>
      <c r="G162" s="222">
        <f t="shared" si="17"/>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8">SUM(D166,F166,H166)</f>
        <v>0</v>
      </c>
      <c r="K166" s="408">
        <f t="shared" si="18"/>
        <v>0</v>
      </c>
      <c r="L166" s="1531"/>
    </row>
    <row r="167" spans="1:18">
      <c r="A167" s="1880"/>
      <c r="B167" s="1881"/>
      <c r="C167" s="254">
        <v>2016</v>
      </c>
      <c r="D167" s="255"/>
      <c r="E167" s="255"/>
      <c r="F167" s="255"/>
      <c r="G167" s="255"/>
      <c r="H167" s="255"/>
      <c r="I167" s="256"/>
      <c r="J167" s="407">
        <f t="shared" si="18"/>
        <v>0</v>
      </c>
      <c r="K167" s="408">
        <f t="shared" si="18"/>
        <v>0</v>
      </c>
    </row>
    <row r="168" spans="1:18">
      <c r="A168" s="1880"/>
      <c r="B168" s="1881"/>
      <c r="C168" s="254">
        <v>2017</v>
      </c>
      <c r="D168" s="255"/>
      <c r="E168" s="165"/>
      <c r="F168" s="255"/>
      <c r="G168" s="255"/>
      <c r="H168" s="255"/>
      <c r="I168" s="256"/>
      <c r="J168" s="407">
        <f t="shared" si="18"/>
        <v>0</v>
      </c>
      <c r="K168" s="408">
        <f t="shared" si="18"/>
        <v>0</v>
      </c>
    </row>
    <row r="169" spans="1:18">
      <c r="A169" s="1880"/>
      <c r="B169" s="1881"/>
      <c r="C169" s="262">
        <v>2018</v>
      </c>
      <c r="D169" s="255"/>
      <c r="E169" s="255"/>
      <c r="F169" s="255"/>
      <c r="G169" s="263"/>
      <c r="H169" s="255"/>
      <c r="I169" s="256"/>
      <c r="J169" s="407">
        <f t="shared" si="18"/>
        <v>0</v>
      </c>
      <c r="K169" s="408">
        <f t="shared" si="18"/>
        <v>0</v>
      </c>
      <c r="L169" s="1531"/>
    </row>
    <row r="170" spans="1:18">
      <c r="A170" s="1880"/>
      <c r="B170" s="1881"/>
      <c r="C170" s="254">
        <v>2019</v>
      </c>
      <c r="D170" s="165"/>
      <c r="E170" s="255"/>
      <c r="F170" s="255"/>
      <c r="G170" s="255"/>
      <c r="H170" s="263"/>
      <c r="I170" s="256"/>
      <c r="J170" s="407">
        <f t="shared" si="18"/>
        <v>0</v>
      </c>
      <c r="K170" s="408">
        <f t="shared" si="18"/>
        <v>0</v>
      </c>
      <c r="L170" s="1531"/>
    </row>
    <row r="171" spans="1:18">
      <c r="A171" s="1880"/>
      <c r="B171" s="1881"/>
      <c r="C171" s="262">
        <v>2020</v>
      </c>
      <c r="D171" s="255"/>
      <c r="E171" s="255"/>
      <c r="F171" s="255"/>
      <c r="G171" s="255"/>
      <c r="H171" s="255"/>
      <c r="I171" s="256"/>
      <c r="J171" s="407">
        <f t="shared" si="18"/>
        <v>0</v>
      </c>
      <c r="K171" s="408">
        <f t="shared" si="18"/>
        <v>0</v>
      </c>
      <c r="L171" s="1531"/>
    </row>
    <row r="172" spans="1:18" ht="41.25" customHeight="1" thickBot="1">
      <c r="A172" s="1882"/>
      <c r="B172" s="1883"/>
      <c r="C172" s="265" t="s">
        <v>13</v>
      </c>
      <c r="D172" s="181">
        <f>SUM(D165:D171)</f>
        <v>0</v>
      </c>
      <c r="E172" s="181">
        <f t="shared" ref="E172:K172" si="19">SUM(E165:E171)</f>
        <v>0</v>
      </c>
      <c r="F172" s="181">
        <f t="shared" si="19"/>
        <v>0</v>
      </c>
      <c r="G172" s="181">
        <f t="shared" si="19"/>
        <v>0</v>
      </c>
      <c r="H172" s="181">
        <f t="shared" si="19"/>
        <v>0</v>
      </c>
      <c r="I172" s="409">
        <f t="shared" si="19"/>
        <v>0</v>
      </c>
      <c r="J172" s="410">
        <f t="shared" si="19"/>
        <v>0</v>
      </c>
      <c r="K172" s="221">
        <f t="shared" si="19"/>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212" t="s">
        <v>502</v>
      </c>
      <c r="B178" s="2092"/>
      <c r="C178" s="106">
        <v>2014</v>
      </c>
      <c r="D178" s="30"/>
      <c r="E178" s="31"/>
      <c r="F178" s="31"/>
      <c r="G178" s="284">
        <f>SUM(D178:F178)</f>
        <v>0</v>
      </c>
      <c r="H178" s="155"/>
      <c r="I178" s="155"/>
      <c r="J178" s="31"/>
      <c r="K178" s="31"/>
      <c r="L178" s="31"/>
      <c r="M178" s="31"/>
      <c r="N178" s="31"/>
      <c r="O178" s="34"/>
    </row>
    <row r="179" spans="1:15">
      <c r="A179" s="2212"/>
      <c r="B179" s="2092"/>
      <c r="C179" s="110">
        <v>2015</v>
      </c>
      <c r="D179" s="37">
        <v>2</v>
      </c>
      <c r="E179" s="38"/>
      <c r="F179" s="38"/>
      <c r="G179" s="284">
        <f t="shared" ref="G179:G184" si="20">SUM(D179:F179)</f>
        <v>2</v>
      </c>
      <c r="H179" s="411">
        <v>2</v>
      </c>
      <c r="I179" s="112">
        <v>2</v>
      </c>
      <c r="J179" s="38"/>
      <c r="K179" s="38"/>
      <c r="L179" s="38"/>
      <c r="M179" s="38"/>
      <c r="N179" s="38"/>
      <c r="O179" s="88"/>
    </row>
    <row r="180" spans="1:15">
      <c r="A180" s="2212"/>
      <c r="B180" s="2092"/>
      <c r="C180" s="110">
        <v>2016</v>
      </c>
      <c r="D180" s="37">
        <f>21+2+7</f>
        <v>30</v>
      </c>
      <c r="E180" s="38">
        <v>3</v>
      </c>
      <c r="F180" s="38">
        <f>12+5</f>
        <v>17</v>
      </c>
      <c r="G180" s="284">
        <f t="shared" si="20"/>
        <v>50</v>
      </c>
      <c r="H180" s="411">
        <v>56</v>
      </c>
      <c r="I180" s="112">
        <v>50</v>
      </c>
      <c r="J180" s="38"/>
      <c r="K180" s="38"/>
      <c r="L180" s="38"/>
      <c r="M180" s="38"/>
      <c r="N180" s="38"/>
      <c r="O180" s="88"/>
    </row>
    <row r="181" spans="1:15">
      <c r="A181" s="2212"/>
      <c r="B181" s="2092"/>
      <c r="C181" s="110">
        <v>2017</v>
      </c>
      <c r="D181" s="37"/>
      <c r="E181" s="38">
        <v>2</v>
      </c>
      <c r="F181" s="38">
        <f>6+1+1+2+3+4</f>
        <v>17</v>
      </c>
      <c r="G181" s="284">
        <f t="shared" si="20"/>
        <v>19</v>
      </c>
      <c r="H181" s="411">
        <f>13+14</f>
        <v>27</v>
      </c>
      <c r="I181" s="112">
        <v>19</v>
      </c>
      <c r="J181" s="38"/>
      <c r="K181" s="38"/>
      <c r="L181" s="38"/>
      <c r="M181" s="38"/>
      <c r="N181" s="38"/>
      <c r="O181" s="88"/>
    </row>
    <row r="182" spans="1:15">
      <c r="A182" s="2212"/>
      <c r="B182" s="2092"/>
      <c r="C182" s="110">
        <v>2018</v>
      </c>
      <c r="D182" s="37"/>
      <c r="E182" s="38"/>
      <c r="F182" s="38"/>
      <c r="G182" s="284">
        <f t="shared" si="20"/>
        <v>0</v>
      </c>
      <c r="H182" s="411"/>
      <c r="I182" s="112"/>
      <c r="J182" s="38"/>
      <c r="K182" s="38"/>
      <c r="L182" s="38"/>
      <c r="M182" s="38"/>
      <c r="N182" s="38"/>
      <c r="O182" s="88"/>
    </row>
    <row r="183" spans="1:15">
      <c r="A183" s="2212"/>
      <c r="B183" s="2092"/>
      <c r="C183" s="110">
        <v>2019</v>
      </c>
      <c r="D183" s="37"/>
      <c r="E183" s="38"/>
      <c r="F183" s="38"/>
      <c r="G183" s="284">
        <f t="shared" si="20"/>
        <v>0</v>
      </c>
      <c r="H183" s="411"/>
      <c r="I183" s="112"/>
      <c r="J183" s="38"/>
      <c r="K183" s="38"/>
      <c r="L183" s="38"/>
      <c r="M183" s="38"/>
      <c r="N183" s="38"/>
      <c r="O183" s="88"/>
    </row>
    <row r="184" spans="1:15">
      <c r="A184" s="2212"/>
      <c r="B184" s="2092"/>
      <c r="C184" s="110">
        <v>2020</v>
      </c>
      <c r="D184" s="37"/>
      <c r="E184" s="38"/>
      <c r="F184" s="38"/>
      <c r="G184" s="284">
        <f t="shared" si="20"/>
        <v>0</v>
      </c>
      <c r="H184" s="411"/>
      <c r="I184" s="112"/>
      <c r="J184" s="38"/>
      <c r="K184" s="38"/>
      <c r="L184" s="38"/>
      <c r="M184" s="38"/>
      <c r="N184" s="38"/>
      <c r="O184" s="88"/>
    </row>
    <row r="185" spans="1:15" ht="266.25" customHeight="1" thickBot="1">
      <c r="A185" s="2499"/>
      <c r="B185" s="2093"/>
      <c r="C185" s="113" t="s">
        <v>13</v>
      </c>
      <c r="D185" s="139">
        <f>SUM(D178:D184)</f>
        <v>32</v>
      </c>
      <c r="E185" s="116">
        <f>SUM(E178:E184)</f>
        <v>5</v>
      </c>
      <c r="F185" s="116">
        <f>SUM(F178:F184)</f>
        <v>34</v>
      </c>
      <c r="G185" s="220">
        <f t="shared" ref="G185:O185" si="21">SUM(G178:G184)</f>
        <v>71</v>
      </c>
      <c r="H185" s="285">
        <f t="shared" si="21"/>
        <v>85</v>
      </c>
      <c r="I185" s="115">
        <f t="shared" si="21"/>
        <v>71</v>
      </c>
      <c r="J185" s="116">
        <f t="shared" si="21"/>
        <v>0</v>
      </c>
      <c r="K185" s="116">
        <f t="shared" si="21"/>
        <v>0</v>
      </c>
      <c r="L185" s="116">
        <f t="shared" si="21"/>
        <v>0</v>
      </c>
      <c r="M185" s="116">
        <f t="shared" si="21"/>
        <v>0</v>
      </c>
      <c r="N185" s="116">
        <f t="shared" si="21"/>
        <v>0</v>
      </c>
      <c r="O185" s="117">
        <f t="shared" si="21"/>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128.25">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212" t="s">
        <v>503</v>
      </c>
      <c r="B189" s="2092"/>
      <c r="C189" s="290">
        <v>2014</v>
      </c>
      <c r="D189" s="133"/>
      <c r="E189" s="109"/>
      <c r="F189" s="109"/>
      <c r="G189" s="291">
        <f>SUM(D189:F189)</f>
        <v>0</v>
      </c>
      <c r="H189" s="108"/>
      <c r="I189" s="109"/>
      <c r="J189" s="109"/>
      <c r="K189" s="109"/>
      <c r="L189" s="134"/>
    </row>
    <row r="190" spans="1:15">
      <c r="A190" s="2212"/>
      <c r="B190" s="2092"/>
      <c r="C190" s="73">
        <v>2015</v>
      </c>
      <c r="D190" s="37"/>
      <c r="E190" s="38"/>
      <c r="F190" s="38"/>
      <c r="G190" s="291">
        <f t="shared" ref="G190:G195" si="22">SUM(D190:F190)</f>
        <v>0</v>
      </c>
      <c r="H190" s="112"/>
      <c r="I190" s="38"/>
      <c r="J190" s="38"/>
      <c r="K190" s="38"/>
      <c r="L190" s="88"/>
    </row>
    <row r="191" spans="1:15">
      <c r="A191" s="2212"/>
      <c r="B191" s="2092"/>
      <c r="C191" s="73">
        <v>2016</v>
      </c>
      <c r="D191" s="37">
        <v>671</v>
      </c>
      <c r="E191" s="38">
        <v>135</v>
      </c>
      <c r="F191" s="38">
        <v>24</v>
      </c>
      <c r="G191" s="291">
        <f t="shared" si="22"/>
        <v>830</v>
      </c>
      <c r="H191" s="112"/>
      <c r="I191" s="38"/>
      <c r="J191" s="38">
        <v>23</v>
      </c>
      <c r="K191" s="38"/>
      <c r="L191" s="88">
        <v>807</v>
      </c>
    </row>
    <row r="192" spans="1:15">
      <c r="A192" s="2212"/>
      <c r="B192" s="2092"/>
      <c r="C192" s="73">
        <v>2017</v>
      </c>
      <c r="D192" s="37">
        <f>76+6+2+6+65+11</f>
        <v>166</v>
      </c>
      <c r="E192" s="38">
        <f>35+40</f>
        <v>75</v>
      </c>
      <c r="F192" s="38"/>
      <c r="G192" s="291">
        <f t="shared" si="22"/>
        <v>241</v>
      </c>
      <c r="H192" s="112"/>
      <c r="I192" s="38"/>
      <c r="J192" s="38">
        <f>23+18</f>
        <v>41</v>
      </c>
      <c r="K192" s="38"/>
      <c r="L192" s="88">
        <f>G192-J192</f>
        <v>200</v>
      </c>
    </row>
    <row r="193" spans="1:14">
      <c r="A193" s="2212"/>
      <c r="B193" s="2092"/>
      <c r="C193" s="73">
        <v>2018</v>
      </c>
      <c r="D193" s="37"/>
      <c r="E193" s="38"/>
      <c r="F193" s="38"/>
      <c r="G193" s="291">
        <f t="shared" si="22"/>
        <v>0</v>
      </c>
      <c r="H193" s="112"/>
      <c r="I193" s="38"/>
      <c r="J193" s="38"/>
      <c r="K193" s="38"/>
      <c r="L193" s="88"/>
    </row>
    <row r="194" spans="1:14">
      <c r="A194" s="2212"/>
      <c r="B194" s="2092"/>
      <c r="C194" s="73">
        <v>2019</v>
      </c>
      <c r="D194" s="37"/>
      <c r="E194" s="38"/>
      <c r="F194" s="38"/>
      <c r="G194" s="291">
        <f t="shared" si="22"/>
        <v>0</v>
      </c>
      <c r="H194" s="112"/>
      <c r="I194" s="38"/>
      <c r="J194" s="38"/>
      <c r="K194" s="38"/>
      <c r="L194" s="88"/>
    </row>
    <row r="195" spans="1:14">
      <c r="A195" s="2212"/>
      <c r="B195" s="2092"/>
      <c r="C195" s="73">
        <v>2020</v>
      </c>
      <c r="D195" s="37"/>
      <c r="E195" s="38"/>
      <c r="F195" s="38"/>
      <c r="G195" s="291">
        <f t="shared" si="22"/>
        <v>0</v>
      </c>
      <c r="H195" s="112"/>
      <c r="I195" s="38"/>
      <c r="J195" s="38"/>
      <c r="K195" s="38"/>
      <c r="L195" s="88"/>
    </row>
    <row r="196" spans="1:14" ht="245.25" customHeight="1" thickBot="1">
      <c r="A196" s="2499"/>
      <c r="B196" s="2093"/>
      <c r="C196" s="136" t="s">
        <v>13</v>
      </c>
      <c r="D196" s="139">
        <f t="shared" ref="D196:L196" si="23">SUM(D189:D195)</f>
        <v>837</v>
      </c>
      <c r="E196" s="116">
        <f t="shared" si="23"/>
        <v>210</v>
      </c>
      <c r="F196" s="116">
        <f t="shared" si="23"/>
        <v>24</v>
      </c>
      <c r="G196" s="292">
        <f t="shared" si="23"/>
        <v>1071</v>
      </c>
      <c r="H196" s="115">
        <f t="shared" si="23"/>
        <v>0</v>
      </c>
      <c r="I196" s="116">
        <f t="shared" si="23"/>
        <v>0</v>
      </c>
      <c r="J196" s="116">
        <f t="shared" si="23"/>
        <v>64</v>
      </c>
      <c r="K196" s="116">
        <f t="shared" si="23"/>
        <v>0</v>
      </c>
      <c r="L196" s="117">
        <f t="shared" si="23"/>
        <v>1007</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4">SUM(E202:E208)</f>
        <v>0</v>
      </c>
      <c r="F209" s="139">
        <f t="shared" si="24"/>
        <v>0</v>
      </c>
      <c r="G209" s="139">
        <f t="shared" si="24"/>
        <v>0</v>
      </c>
      <c r="H209" s="139">
        <f t="shared" si="24"/>
        <v>0</v>
      </c>
      <c r="I209" s="139">
        <f t="shared" si="24"/>
        <v>0</v>
      </c>
      <c r="J209" s="139">
        <f t="shared" si="24"/>
        <v>0</v>
      </c>
      <c r="K209" s="139">
        <f t="shared" si="24"/>
        <v>0</v>
      </c>
      <c r="L209" s="139">
        <f t="shared" si="24"/>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2625" t="s">
        <v>504</v>
      </c>
      <c r="C213" s="72"/>
      <c r="D213" s="135">
        <f>D214</f>
        <v>3699.9799999999996</v>
      </c>
      <c r="E213" s="135">
        <f>SUM(E214:E217)</f>
        <v>258323.45</v>
      </c>
      <c r="F213" s="1712">
        <f>F214+F217</f>
        <v>98399.8</v>
      </c>
      <c r="G213" s="135"/>
      <c r="H213" s="135"/>
      <c r="I213" s="326"/>
    </row>
    <row r="214" spans="1:12">
      <c r="A214" t="s">
        <v>164</v>
      </c>
      <c r="B214" s="2626"/>
      <c r="C214" s="72"/>
      <c r="D214" s="135">
        <f>9884.72-6184.74</f>
        <v>3699.9799999999996</v>
      </c>
      <c r="E214" s="461">
        <f>258323.45-E217</f>
        <v>118319.45000000001</v>
      </c>
      <c r="F214" s="1712">
        <f>8883.3+8686.5</f>
        <v>17569.8</v>
      </c>
      <c r="G214" s="135"/>
      <c r="H214" s="135"/>
      <c r="I214" s="326"/>
      <c r="J214" s="1113"/>
    </row>
    <row r="215" spans="1:12">
      <c r="A215" t="s">
        <v>165</v>
      </c>
      <c r="B215" s="2626"/>
      <c r="C215" s="72"/>
      <c r="D215" s="135"/>
      <c r="E215" s="135"/>
      <c r="F215" s="1712"/>
      <c r="G215" s="135"/>
      <c r="H215" s="135"/>
      <c r="I215" s="326"/>
    </row>
    <row r="216" spans="1:12">
      <c r="A216" t="s">
        <v>166</v>
      </c>
      <c r="B216" s="2626"/>
      <c r="C216" s="72"/>
      <c r="D216" s="135"/>
      <c r="E216" s="135"/>
      <c r="F216" s="1712"/>
      <c r="G216" s="135"/>
      <c r="H216" s="135"/>
      <c r="I216" s="326"/>
    </row>
    <row r="217" spans="1:12">
      <c r="A217" t="s">
        <v>167</v>
      </c>
      <c r="B217" s="2626"/>
      <c r="C217" s="72"/>
      <c r="D217" s="135"/>
      <c r="E217" s="135">
        <f>83945+56059</f>
        <v>140004</v>
      </c>
      <c r="F217" s="1712">
        <f>37230+43600</f>
        <v>80830</v>
      </c>
      <c r="G217" s="135"/>
      <c r="H217" s="135"/>
      <c r="I217" s="326"/>
      <c r="K217">
        <f>E214+E217</f>
        <v>258323.45</v>
      </c>
    </row>
    <row r="218" spans="1:12" ht="30">
      <c r="A218" s="56" t="s">
        <v>168</v>
      </c>
      <c r="B218" s="2626"/>
      <c r="C218" s="72"/>
      <c r="D218" s="135">
        <f>93716.16-D214</f>
        <v>90016.180000000008</v>
      </c>
      <c r="E218" s="461">
        <f>363218.44-E214-E217</f>
        <v>104894.98999999999</v>
      </c>
      <c r="F218" s="1712">
        <f>164399.8-F217-F214</f>
        <v>65999.999999999985</v>
      </c>
      <c r="G218" s="135"/>
      <c r="H218" s="135"/>
      <c r="I218" s="326"/>
    </row>
    <row r="219" spans="1:12" ht="141.75" customHeight="1" thickBot="1">
      <c r="A219" s="1532"/>
      <c r="B219" s="2627"/>
      <c r="C219" s="42" t="s">
        <v>13</v>
      </c>
      <c r="D219" s="333">
        <f>SUM(D214:D218)</f>
        <v>93716.160000000003</v>
      </c>
      <c r="E219" s="333">
        <f t="shared" ref="E219:I219" si="25">SUM(E214:E218)</f>
        <v>363218.44</v>
      </c>
      <c r="F219" s="1617">
        <f>SUM(F214:F218)</f>
        <v>164399.79999999999</v>
      </c>
      <c r="G219" s="333">
        <f t="shared" si="25"/>
        <v>0</v>
      </c>
      <c r="H219" s="333">
        <f t="shared" si="25"/>
        <v>0</v>
      </c>
      <c r="I219" s="333">
        <f t="shared" si="25"/>
        <v>0</v>
      </c>
      <c r="K219" s="1713"/>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31" workbookViewId="0">
      <selection activeCell="F219" sqref="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23" customWidth="1"/>
    <col min="14" max="14" width="14" customWidth="1"/>
    <col min="15" max="15" width="13.5703125" customWidth="1"/>
    <col min="16" max="25" width="13.7109375" customWidth="1"/>
  </cols>
  <sheetData>
    <row r="1" spans="1:25" s="1" customFormat="1" ht="31.5">
      <c r="A1" s="334" t="s">
        <v>0</v>
      </c>
      <c r="B1" s="1943" t="s">
        <v>505</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506</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c r="E18" s="38"/>
      <c r="F18" s="38"/>
      <c r="G18" s="32">
        <f>SUM(D18:F18)</f>
        <v>0</v>
      </c>
      <c r="H18" s="39"/>
      <c r="I18" s="38"/>
      <c r="J18" s="38"/>
      <c r="K18" s="38"/>
      <c r="L18" s="38"/>
      <c r="M18" s="38"/>
      <c r="N18" s="38"/>
      <c r="O18" s="40"/>
      <c r="P18" s="35"/>
      <c r="Q18" s="35"/>
      <c r="R18" s="35"/>
      <c r="S18" s="35"/>
      <c r="T18" s="35"/>
      <c r="U18" s="35"/>
      <c r="V18" s="35"/>
      <c r="W18" s="35"/>
      <c r="X18" s="35"/>
      <c r="Y18" s="35"/>
    </row>
    <row r="19" spans="1:25">
      <c r="A19" s="1854"/>
      <c r="B19" s="1855"/>
      <c r="C19" s="36">
        <v>2016</v>
      </c>
      <c r="D19" s="37">
        <v>5</v>
      </c>
      <c r="E19" s="38"/>
      <c r="F19" s="38"/>
      <c r="G19" s="32">
        <f t="shared" si="0"/>
        <v>5</v>
      </c>
      <c r="H19" s="39">
        <v>4</v>
      </c>
      <c r="I19" s="38">
        <v>1</v>
      </c>
      <c r="J19" s="38"/>
      <c r="K19" s="38"/>
      <c r="L19" s="38"/>
      <c r="M19" s="38"/>
      <c r="N19" s="38"/>
      <c r="O19" s="40"/>
      <c r="P19" s="35" t="s">
        <v>507</v>
      </c>
      <c r="Q19" s="35" t="s">
        <v>508</v>
      </c>
      <c r="R19" s="35"/>
      <c r="S19" s="35"/>
      <c r="T19" s="35"/>
      <c r="U19" s="35"/>
      <c r="V19" s="35"/>
      <c r="W19" s="35"/>
      <c r="X19" s="35"/>
      <c r="Y19" s="35"/>
    </row>
    <row r="20" spans="1:25">
      <c r="A20" s="1854"/>
      <c r="B20" s="1855"/>
      <c r="C20" s="36">
        <v>2017</v>
      </c>
      <c r="D20" s="395"/>
      <c r="E20" s="38"/>
      <c r="F20" s="38"/>
      <c r="G20" s="32">
        <f t="shared" si="0"/>
        <v>0</v>
      </c>
      <c r="H20" s="349"/>
      <c r="I20" s="339"/>
      <c r="J20" s="38"/>
      <c r="K20" s="38"/>
      <c r="L20" s="38"/>
      <c r="M20" s="38"/>
      <c r="N20" s="38"/>
      <c r="O20" s="40"/>
      <c r="P20" s="35" t="s">
        <v>509</v>
      </c>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5</v>
      </c>
      <c r="E24" s="44">
        <f>SUM(E17:E23)</f>
        <v>0</v>
      </c>
      <c r="F24" s="44">
        <f>SUM(F17:F23)</f>
        <v>0</v>
      </c>
      <c r="G24" s="45">
        <f>SUM(D24:F24)</f>
        <v>5</v>
      </c>
      <c r="H24" s="46">
        <f>SUM(H17:H23)</f>
        <v>4</v>
      </c>
      <c r="I24" s="47">
        <f>SUM(I17:I23)</f>
        <v>1</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t="s">
        <v>262</v>
      </c>
      <c r="I27" s="28"/>
      <c r="J27" s="28"/>
      <c r="K27" s="28"/>
      <c r="L27" s="28"/>
      <c r="M27" s="28"/>
      <c r="N27" s="28"/>
      <c r="O27" s="28"/>
      <c r="P27" s="28"/>
      <c r="Q27" s="51"/>
    </row>
    <row r="28" spans="1:25" ht="15" customHeight="1">
      <c r="A28" s="1874"/>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c r="E29" s="38"/>
      <c r="F29" s="38"/>
      <c r="G29" s="58">
        <f t="shared" ref="G29:G35" si="2">SUM(D29:F29)</f>
        <v>0</v>
      </c>
      <c r="H29" s="35"/>
      <c r="I29" s="35"/>
      <c r="J29" s="35"/>
      <c r="K29" s="35"/>
      <c r="L29" s="35"/>
      <c r="M29" s="35"/>
      <c r="N29" s="35"/>
      <c r="O29" s="35"/>
      <c r="P29" s="35"/>
      <c r="Q29" s="7"/>
    </row>
    <row r="30" spans="1:25">
      <c r="A30" s="1854"/>
      <c r="B30" s="1855"/>
      <c r="C30" s="59">
        <v>2016</v>
      </c>
      <c r="D30" s="39">
        <v>248</v>
      </c>
      <c r="E30" s="38"/>
      <c r="F30" s="38"/>
      <c r="G30" s="58">
        <f t="shared" si="2"/>
        <v>248</v>
      </c>
      <c r="H30" s="35"/>
      <c r="I30" s="35"/>
      <c r="J30" s="35"/>
      <c r="K30" s="35"/>
      <c r="L30" s="35"/>
      <c r="M30" s="35"/>
      <c r="N30" s="35"/>
      <c r="O30" s="35"/>
      <c r="P30" s="35"/>
      <c r="Q30" s="7"/>
    </row>
    <row r="31" spans="1:25">
      <c r="A31" s="1854"/>
      <c r="B31" s="1855"/>
      <c r="C31" s="59">
        <v>2017</v>
      </c>
      <c r="D31" s="39"/>
      <c r="E31" s="38"/>
      <c r="F31" s="38"/>
      <c r="G31" s="58">
        <f t="shared" si="2"/>
        <v>0</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248</v>
      </c>
      <c r="E35" s="44">
        <f>SUM(E28:E34)</f>
        <v>0</v>
      </c>
      <c r="F35" s="44">
        <f>SUM(F28:F34)</f>
        <v>0</v>
      </c>
      <c r="G35" s="48">
        <f t="shared" si="2"/>
        <v>248</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t="s">
        <v>510</v>
      </c>
      <c r="B40" s="1855"/>
      <c r="C40" s="72">
        <v>2014</v>
      </c>
      <c r="D40" s="30"/>
      <c r="E40" s="29"/>
      <c r="F40" s="7"/>
      <c r="G40" s="35"/>
      <c r="H40" s="35"/>
    </row>
    <row r="41" spans="1:17">
      <c r="A41" s="1854"/>
      <c r="B41" s="1855"/>
      <c r="C41" s="73">
        <v>2015</v>
      </c>
      <c r="D41" s="37">
        <v>944</v>
      </c>
      <c r="E41" s="36">
        <v>720</v>
      </c>
      <c r="F41" s="7"/>
      <c r="G41" s="35"/>
      <c r="H41" s="35"/>
    </row>
    <row r="42" spans="1:17">
      <c r="A42" s="1854"/>
      <c r="B42" s="1855"/>
      <c r="C42" s="73">
        <v>2016</v>
      </c>
      <c r="D42" s="37">
        <v>4251</v>
      </c>
      <c r="E42" s="1540"/>
      <c r="F42" s="7"/>
      <c r="G42" s="35"/>
      <c r="H42" s="35"/>
    </row>
    <row r="43" spans="1:17">
      <c r="A43" s="1854"/>
      <c r="B43" s="1855"/>
      <c r="C43" s="73">
        <v>2017</v>
      </c>
      <c r="D43" s="37">
        <v>3186</v>
      </c>
      <c r="E43" s="1540"/>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8381</v>
      </c>
      <c r="E47" s="455">
        <f>SUM(E40:E46)</f>
        <v>720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t="s">
        <v>511</v>
      </c>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v>1</v>
      </c>
      <c r="E52" s="38"/>
      <c r="F52" s="38"/>
      <c r="G52" s="38">
        <v>21</v>
      </c>
      <c r="H52" s="38"/>
      <c r="I52" s="38"/>
      <c r="J52" s="38">
        <v>2</v>
      </c>
      <c r="K52" s="88"/>
    </row>
    <row r="53" spans="1:15">
      <c r="A53" s="1874"/>
      <c r="B53" s="1881"/>
      <c r="C53" s="73">
        <v>2016</v>
      </c>
      <c r="D53" s="37">
        <v>1</v>
      </c>
      <c r="E53" s="38"/>
      <c r="F53" s="38"/>
      <c r="G53" s="38">
        <v>2354</v>
      </c>
      <c r="H53" s="38"/>
      <c r="I53" s="38"/>
      <c r="J53" s="38">
        <v>24</v>
      </c>
      <c r="K53" s="88"/>
    </row>
    <row r="54" spans="1:15">
      <c r="A54" s="1874"/>
      <c r="B54" s="1881"/>
      <c r="C54" s="73">
        <v>2017</v>
      </c>
      <c r="D54" s="37">
        <v>1</v>
      </c>
      <c r="E54" s="38"/>
      <c r="F54" s="38"/>
      <c r="G54" s="38">
        <v>18</v>
      </c>
      <c r="H54" s="38"/>
      <c r="I54" s="38"/>
      <c r="J54" s="38">
        <v>2</v>
      </c>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3</v>
      </c>
      <c r="E58" s="44">
        <f>SUM(E51:E57)</f>
        <v>0</v>
      </c>
      <c r="F58" s="44">
        <f>SUM(F51:F57)</f>
        <v>0</v>
      </c>
      <c r="G58" s="44">
        <f>SUM(G51:G57)</f>
        <v>2393</v>
      </c>
      <c r="H58" s="44">
        <f>SUM(H51:H57)</f>
        <v>0</v>
      </c>
      <c r="I58" s="44">
        <f t="shared" ref="I58" si="3">SUM(I51:I57)</f>
        <v>0</v>
      </c>
      <c r="J58" s="44">
        <f>SUM(J51:J57)</f>
        <v>28</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512</v>
      </c>
      <c r="B62" s="1899"/>
      <c r="C62" s="106">
        <v>2014</v>
      </c>
      <c r="D62" s="107"/>
      <c r="E62" s="108"/>
      <c r="F62" s="109"/>
      <c r="G62" s="109"/>
      <c r="H62" s="109"/>
      <c r="I62" s="109"/>
      <c r="J62" s="109"/>
      <c r="K62" s="109"/>
      <c r="L62" s="34"/>
      <c r="M62" s="7"/>
      <c r="N62" s="7"/>
      <c r="O62" s="7"/>
    </row>
    <row r="63" spans="1:15">
      <c r="A63" s="1891"/>
      <c r="B63" s="1899"/>
      <c r="C63" s="110">
        <v>2015</v>
      </c>
      <c r="D63" s="111">
        <v>4</v>
      </c>
      <c r="E63" s="112">
        <v>4</v>
      </c>
      <c r="F63" s="38"/>
      <c r="G63" s="38"/>
      <c r="H63" s="38"/>
      <c r="I63" s="38"/>
      <c r="J63" s="38"/>
      <c r="K63" s="38"/>
      <c r="L63" s="88"/>
      <c r="M63" s="7"/>
      <c r="N63" s="7"/>
      <c r="O63" s="7"/>
    </row>
    <row r="64" spans="1:15">
      <c r="A64" s="1891"/>
      <c r="B64" s="1899"/>
      <c r="C64" s="1510">
        <v>2016</v>
      </c>
      <c r="D64" s="456">
        <v>5</v>
      </c>
      <c r="E64" s="457">
        <v>3</v>
      </c>
      <c r="F64" s="339">
        <v>2</v>
      </c>
      <c r="G64" s="339"/>
      <c r="H64" s="339"/>
      <c r="I64" s="339"/>
      <c r="J64" s="339"/>
      <c r="K64" s="339"/>
      <c r="L64" s="340"/>
      <c r="M64" s="7"/>
      <c r="N64" s="7"/>
      <c r="O64" s="7"/>
    </row>
    <row r="65" spans="1:20">
      <c r="A65" s="1891"/>
      <c r="B65" s="1899"/>
      <c r="C65" s="110">
        <v>2017</v>
      </c>
      <c r="D65" s="111">
        <v>6</v>
      </c>
      <c r="E65" s="112">
        <v>1</v>
      </c>
      <c r="F65" s="38">
        <v>5</v>
      </c>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15</v>
      </c>
      <c r="E69" s="115">
        <f>SUM(E62:E68)</f>
        <v>8</v>
      </c>
      <c r="F69" s="116">
        <f t="shared" ref="F69:I69" si="4">SUM(F62:F68)</f>
        <v>7</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c r="G74" s="132">
        <f t="shared" si="5"/>
        <v>0</v>
      </c>
      <c r="H74" s="37"/>
      <c r="I74" s="37"/>
      <c r="J74" s="38"/>
      <c r="K74" s="38"/>
      <c r="L74" s="38"/>
      <c r="M74" s="38"/>
      <c r="N74" s="38"/>
      <c r="O74" s="88"/>
    </row>
    <row r="75" spans="1:20">
      <c r="A75" s="1854"/>
      <c r="B75" s="1899"/>
      <c r="C75" s="73">
        <v>2017</v>
      </c>
      <c r="D75" s="135"/>
      <c r="E75" s="135"/>
      <c r="F75" s="135"/>
      <c r="G75" s="132">
        <f t="shared" si="5"/>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513</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2</v>
      </c>
      <c r="E179" s="38"/>
      <c r="F179" s="38"/>
      <c r="G179" s="284">
        <f t="shared" ref="G179:G184" si="19">SUM(D179:F179)</f>
        <v>2</v>
      </c>
      <c r="H179" s="411"/>
      <c r="I179" s="112">
        <v>2</v>
      </c>
      <c r="J179" s="38"/>
      <c r="K179" s="38"/>
      <c r="L179" s="38"/>
      <c r="M179" s="38"/>
      <c r="N179" s="38"/>
      <c r="O179" s="88"/>
    </row>
    <row r="180" spans="1:15">
      <c r="A180" s="1891"/>
      <c r="B180" s="1899"/>
      <c r="C180" s="110">
        <v>2016</v>
      </c>
      <c r="D180" s="37">
        <v>14</v>
      </c>
      <c r="E180" s="38">
        <v>3</v>
      </c>
      <c r="F180" s="38"/>
      <c r="G180" s="284">
        <f t="shared" si="19"/>
        <v>17</v>
      </c>
      <c r="H180" s="411">
        <v>23</v>
      </c>
      <c r="I180" s="112">
        <v>14</v>
      </c>
      <c r="J180" s="38">
        <v>3</v>
      </c>
      <c r="K180" s="38"/>
      <c r="L180" s="38"/>
      <c r="M180" s="38"/>
      <c r="N180" s="38"/>
      <c r="O180" s="88"/>
    </row>
    <row r="181" spans="1:15">
      <c r="A181" s="1891"/>
      <c r="B181" s="1899"/>
      <c r="C181" s="110">
        <v>2017</v>
      </c>
      <c r="D181" s="37">
        <v>9</v>
      </c>
      <c r="E181" s="38">
        <v>5</v>
      </c>
      <c r="F181" s="38"/>
      <c r="G181" s="284">
        <f t="shared" si="19"/>
        <v>14</v>
      </c>
      <c r="H181" s="411">
        <v>19</v>
      </c>
      <c r="I181" s="112">
        <v>8</v>
      </c>
      <c r="J181" s="38">
        <v>6</v>
      </c>
      <c r="K181" s="38"/>
      <c r="L181" s="38"/>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240" customHeight="1" thickBot="1">
      <c r="A185" s="1893"/>
      <c r="B185" s="1900"/>
      <c r="C185" s="113" t="s">
        <v>13</v>
      </c>
      <c r="D185" s="139">
        <f>SUM(D178:D184)</f>
        <v>25</v>
      </c>
      <c r="E185" s="116">
        <f>SUM(E178:E184)</f>
        <v>8</v>
      </c>
      <c r="F185" s="116">
        <f>SUM(F178:F184)</f>
        <v>0</v>
      </c>
      <c r="G185" s="220">
        <f t="shared" ref="G185:O185" si="20">SUM(G178:G184)</f>
        <v>33</v>
      </c>
      <c r="H185" s="285">
        <f t="shared" si="20"/>
        <v>42</v>
      </c>
      <c r="I185" s="115">
        <f t="shared" si="20"/>
        <v>24</v>
      </c>
      <c r="J185" s="116">
        <f t="shared" si="20"/>
        <v>9</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514</v>
      </c>
      <c r="B189" s="1977"/>
      <c r="C189" s="290">
        <v>2014</v>
      </c>
      <c r="D189" s="133"/>
      <c r="E189" s="109"/>
      <c r="F189" s="109"/>
      <c r="G189" s="291">
        <f>SUM(D189:F189)</f>
        <v>0</v>
      </c>
      <c r="H189" s="108"/>
      <c r="I189" s="109"/>
      <c r="J189" s="109"/>
      <c r="K189" s="109"/>
      <c r="L189" s="134"/>
    </row>
    <row r="190" spans="1:15">
      <c r="A190" s="1978"/>
      <c r="B190" s="1855"/>
      <c r="C190" s="73">
        <v>2015</v>
      </c>
      <c r="D190" s="37">
        <v>40</v>
      </c>
      <c r="E190" s="38"/>
      <c r="F190" s="38"/>
      <c r="G190" s="291">
        <f t="shared" ref="G190:G195" si="21">SUM(D190:F190)</f>
        <v>40</v>
      </c>
      <c r="H190" s="112"/>
      <c r="I190" s="38"/>
      <c r="J190" s="38">
        <v>11</v>
      </c>
      <c r="K190" s="38">
        <v>8</v>
      </c>
      <c r="L190" s="88">
        <v>21</v>
      </c>
    </row>
    <row r="191" spans="1:15">
      <c r="A191" s="1978"/>
      <c r="B191" s="1855"/>
      <c r="C191" s="73">
        <v>2016</v>
      </c>
      <c r="D191" s="37">
        <v>279</v>
      </c>
      <c r="E191" s="38">
        <v>60</v>
      </c>
      <c r="F191" s="38"/>
      <c r="G191" s="291">
        <f t="shared" si="21"/>
        <v>339</v>
      </c>
      <c r="H191" s="112"/>
      <c r="I191" s="38"/>
      <c r="J191" s="38">
        <v>185</v>
      </c>
      <c r="K191" s="38"/>
      <c r="L191" s="88">
        <v>154</v>
      </c>
    </row>
    <row r="192" spans="1:15">
      <c r="A192" s="1978"/>
      <c r="B192" s="1855"/>
      <c r="C192" s="73">
        <v>2017</v>
      </c>
      <c r="D192" s="395">
        <v>279</v>
      </c>
      <c r="E192" s="38">
        <v>105</v>
      </c>
      <c r="F192" s="38"/>
      <c r="G192" s="291">
        <f t="shared" si="21"/>
        <v>384</v>
      </c>
      <c r="H192" s="112"/>
      <c r="I192" s="38"/>
      <c r="J192" s="38">
        <v>154</v>
      </c>
      <c r="K192" s="38">
        <v>202</v>
      </c>
      <c r="L192" s="88">
        <v>28</v>
      </c>
      <c r="N192" s="35">
        <v>50</v>
      </c>
    </row>
    <row r="193" spans="1:14">
      <c r="A193" s="1978"/>
      <c r="B193" s="1855"/>
      <c r="C193" s="73">
        <v>2018</v>
      </c>
      <c r="D193" s="37"/>
      <c r="E193" s="38"/>
      <c r="F193" s="38"/>
      <c r="G193" s="291">
        <f t="shared" si="21"/>
        <v>0</v>
      </c>
      <c r="H193" s="112"/>
      <c r="I193" s="38"/>
      <c r="J193" s="38"/>
      <c r="K193" s="38"/>
      <c r="L193" s="88"/>
      <c r="N193">
        <v>17</v>
      </c>
    </row>
    <row r="194" spans="1:14">
      <c r="A194" s="1978"/>
      <c r="B194" s="1855"/>
      <c r="C194" s="73">
        <v>2019</v>
      </c>
      <c r="D194" s="37"/>
      <c r="E194" s="38"/>
      <c r="F194" s="38"/>
      <c r="G194" s="291">
        <f t="shared" si="21"/>
        <v>0</v>
      </c>
      <c r="H194" s="112"/>
      <c r="I194" s="38"/>
      <c r="J194" s="38"/>
      <c r="K194" s="38"/>
      <c r="L194" s="88"/>
      <c r="N194">
        <v>80</v>
      </c>
    </row>
    <row r="195" spans="1:14">
      <c r="A195" s="1978"/>
      <c r="B195" s="1855"/>
      <c r="C195" s="73">
        <v>2020</v>
      </c>
      <c r="D195" s="37"/>
      <c r="E195" s="38"/>
      <c r="F195" s="38"/>
      <c r="G195" s="291">
        <f t="shared" si="21"/>
        <v>0</v>
      </c>
      <c r="H195" s="112"/>
      <c r="I195" s="38"/>
      <c r="J195" s="38"/>
      <c r="K195" s="38"/>
      <c r="L195" s="88"/>
      <c r="N195">
        <v>25</v>
      </c>
    </row>
    <row r="196" spans="1:14" ht="15.75" thickBot="1">
      <c r="A196" s="1979"/>
      <c r="B196" s="1857"/>
      <c r="C196" s="136" t="s">
        <v>13</v>
      </c>
      <c r="D196" s="139">
        <f t="shared" ref="D196:L196" si="22">SUM(D189:D195)</f>
        <v>598</v>
      </c>
      <c r="E196" s="116">
        <f t="shared" si="22"/>
        <v>165</v>
      </c>
      <c r="F196" s="116">
        <f t="shared" si="22"/>
        <v>0</v>
      </c>
      <c r="G196" s="292">
        <f t="shared" si="22"/>
        <v>763</v>
      </c>
      <c r="H196" s="115">
        <f t="shared" si="22"/>
        <v>0</v>
      </c>
      <c r="I196" s="116">
        <f t="shared" si="22"/>
        <v>0</v>
      </c>
      <c r="J196" s="116">
        <f t="shared" si="22"/>
        <v>350</v>
      </c>
      <c r="K196" s="116">
        <f t="shared" si="22"/>
        <v>210</v>
      </c>
      <c r="L196" s="117">
        <f t="shared" si="22"/>
        <v>203</v>
      </c>
      <c r="N196" s="1714">
        <f>SUM(J196:L196)</f>
        <v>763</v>
      </c>
    </row>
    <row r="197" spans="1:14">
      <c r="N197">
        <f>SUM(N192:N196)</f>
        <v>935</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515</v>
      </c>
      <c r="C213" s="72"/>
      <c r="D213" s="135">
        <v>6482.67</v>
      </c>
      <c r="E213" s="439">
        <f>SUM(E214:E217)</f>
        <v>199206.83</v>
      </c>
      <c r="F213" s="135">
        <v>127243.63</v>
      </c>
      <c r="G213" s="135"/>
      <c r="H213" s="135"/>
      <c r="I213" s="326"/>
      <c r="J213">
        <f>SUM(D213:F213)</f>
        <v>332933.13</v>
      </c>
    </row>
    <row r="214" spans="1:12">
      <c r="A214" t="s">
        <v>164</v>
      </c>
      <c r="B214" s="1974"/>
      <c r="C214" s="72"/>
      <c r="D214" s="1715"/>
      <c r="E214" s="439">
        <v>33608.25</v>
      </c>
      <c r="F214" s="135">
        <v>4891.8500000000004</v>
      </c>
      <c r="G214" s="135"/>
      <c r="H214" s="135"/>
      <c r="I214" s="326"/>
    </row>
    <row r="215" spans="1:12">
      <c r="A215" t="s">
        <v>165</v>
      </c>
      <c r="B215" s="1974"/>
      <c r="C215" s="72"/>
      <c r="D215" s="135"/>
      <c r="E215" s="439"/>
      <c r="F215" s="135"/>
      <c r="G215" s="135"/>
      <c r="H215" s="135"/>
      <c r="I215" s="326"/>
    </row>
    <row r="216" spans="1:12">
      <c r="A216" t="s">
        <v>166</v>
      </c>
      <c r="B216" s="1974"/>
      <c r="C216" s="72"/>
      <c r="D216" s="135"/>
      <c r="E216" s="439">
        <v>9243</v>
      </c>
      <c r="F216" s="135">
        <v>17418.990000000002</v>
      </c>
      <c r="G216" s="135"/>
      <c r="H216" s="135"/>
      <c r="I216" s="326"/>
    </row>
    <row r="217" spans="1:12">
      <c r="A217" t="s">
        <v>167</v>
      </c>
      <c r="B217" s="1974"/>
      <c r="C217" s="72"/>
      <c r="D217" s="135">
        <v>6482.67</v>
      </c>
      <c r="E217" s="439">
        <v>156355.57999999999</v>
      </c>
      <c r="F217" s="135">
        <v>104932.79</v>
      </c>
      <c r="G217" s="135"/>
      <c r="H217" s="135"/>
      <c r="I217" s="326"/>
    </row>
    <row r="218" spans="1:12" ht="30">
      <c r="A218" s="56" t="s">
        <v>168</v>
      </c>
      <c r="B218" s="1974"/>
      <c r="C218" s="72"/>
      <c r="D218" s="135">
        <v>95292.09</v>
      </c>
      <c r="E218" s="135">
        <v>98994.95</v>
      </c>
      <c r="F218" s="135">
        <v>63418.13</v>
      </c>
      <c r="G218" s="135"/>
      <c r="H218" s="135"/>
      <c r="I218" s="326"/>
    </row>
    <row r="219" spans="1:12" ht="15.75" thickBot="1">
      <c r="A219" s="1532"/>
      <c r="B219" s="1975"/>
      <c r="C219" s="42" t="s">
        <v>13</v>
      </c>
      <c r="D219" s="1716">
        <f>SUM(D214:D218)</f>
        <v>101774.76</v>
      </c>
      <c r="E219" s="333">
        <f t="shared" ref="E219:I219" si="24">SUM(E214:E218)</f>
        <v>298201.77999999997</v>
      </c>
      <c r="F219" s="333">
        <f t="shared" si="24"/>
        <v>190661.76000000001</v>
      </c>
      <c r="G219" s="333">
        <f t="shared" si="24"/>
        <v>0</v>
      </c>
      <c r="H219" s="333">
        <f t="shared" si="24"/>
        <v>0</v>
      </c>
      <c r="I219" s="333">
        <f t="shared" si="24"/>
        <v>0</v>
      </c>
      <c r="J219" s="1717">
        <f>SUM(D219:I219)</f>
        <v>590638.30000000005</v>
      </c>
    </row>
    <row r="221" spans="1:12">
      <c r="A221" t="s">
        <v>516</v>
      </c>
    </row>
    <row r="223" spans="1:12">
      <c r="A223" t="s">
        <v>517</v>
      </c>
    </row>
    <row r="224" spans="1:12">
      <c r="A224" t="s">
        <v>518</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7"/>
  <sheetViews>
    <sheetView topLeftCell="A208" workbookViewId="0">
      <selection activeCell="E214" sqref="E214:E2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519</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408" t="s">
        <v>520</v>
      </c>
      <c r="B17" s="1855"/>
      <c r="C17" s="29">
        <v>2014</v>
      </c>
      <c r="D17" s="30"/>
      <c r="E17" s="31"/>
      <c r="F17" s="31"/>
      <c r="G17" s="32">
        <v>0</v>
      </c>
      <c r="H17" s="33"/>
      <c r="I17" s="31"/>
      <c r="J17" s="31"/>
      <c r="K17" s="31"/>
      <c r="L17" s="31"/>
      <c r="M17" s="31"/>
      <c r="N17" s="31"/>
      <c r="O17" s="34"/>
      <c r="P17" s="35"/>
      <c r="Q17" s="35"/>
      <c r="R17" s="35"/>
      <c r="S17" s="35"/>
      <c r="T17" s="35"/>
      <c r="U17" s="35"/>
      <c r="V17" s="35"/>
      <c r="W17" s="35"/>
      <c r="X17" s="35"/>
      <c r="Y17" s="35"/>
    </row>
    <row r="18" spans="1:25">
      <c r="A18" s="2378"/>
      <c r="B18" s="1855"/>
      <c r="C18" s="36">
        <v>2015</v>
      </c>
      <c r="D18" s="37">
        <v>2</v>
      </c>
      <c r="E18" s="38"/>
      <c r="F18" s="38"/>
      <c r="G18" s="32">
        <v>2</v>
      </c>
      <c r="H18" s="39">
        <v>2</v>
      </c>
      <c r="I18" s="38"/>
      <c r="J18" s="38"/>
      <c r="K18" s="38"/>
      <c r="L18" s="38"/>
      <c r="M18" s="38"/>
      <c r="N18" s="38"/>
      <c r="O18" s="40"/>
      <c r="P18" s="35"/>
      <c r="Q18" s="35"/>
      <c r="R18" s="35"/>
      <c r="S18" s="35"/>
      <c r="T18" s="35"/>
      <c r="U18" s="35"/>
      <c r="V18" s="35"/>
      <c r="W18" s="35"/>
      <c r="X18" s="35"/>
      <c r="Y18" s="35"/>
    </row>
    <row r="19" spans="1:25">
      <c r="A19" s="2378"/>
      <c r="B19" s="1855"/>
      <c r="C19" s="36">
        <v>2016</v>
      </c>
      <c r="D19" s="37">
        <v>5</v>
      </c>
      <c r="E19" s="38">
        <v>0</v>
      </c>
      <c r="F19" s="38">
        <v>0</v>
      </c>
      <c r="G19" s="32">
        <v>5</v>
      </c>
      <c r="H19" s="39">
        <v>5</v>
      </c>
      <c r="I19" s="38"/>
      <c r="J19" s="38"/>
      <c r="K19" s="38"/>
      <c r="L19" s="38"/>
      <c r="M19" s="38"/>
      <c r="N19" s="38"/>
      <c r="O19" s="40"/>
      <c r="P19" s="35"/>
      <c r="Q19" s="35"/>
      <c r="R19" s="35"/>
      <c r="S19" s="35"/>
      <c r="T19" s="35"/>
      <c r="U19" s="35"/>
      <c r="V19" s="35"/>
      <c r="W19" s="35"/>
      <c r="X19" s="35"/>
      <c r="Y19" s="35"/>
    </row>
    <row r="20" spans="1:25">
      <c r="A20" s="2378"/>
      <c r="B20" s="1855"/>
      <c r="C20" s="36">
        <v>2017</v>
      </c>
      <c r="D20" s="37">
        <v>12</v>
      </c>
      <c r="E20" s="38"/>
      <c r="F20" s="38"/>
      <c r="G20" s="32">
        <f>SUM(D20:F20)</f>
        <v>12</v>
      </c>
      <c r="H20" s="39">
        <v>12</v>
      </c>
      <c r="I20" s="38"/>
      <c r="J20" s="38"/>
      <c r="K20" s="38"/>
      <c r="L20" s="38"/>
      <c r="M20" s="38"/>
      <c r="N20" s="38"/>
      <c r="O20" s="40"/>
      <c r="P20" s="35"/>
      <c r="Q20" s="35"/>
      <c r="R20" s="35"/>
      <c r="S20" s="35"/>
      <c r="T20" s="35"/>
      <c r="U20" s="35"/>
      <c r="V20" s="35"/>
      <c r="W20" s="35"/>
      <c r="X20" s="35"/>
      <c r="Y20" s="35"/>
    </row>
    <row r="21" spans="1:25">
      <c r="A21" s="2378"/>
      <c r="B21" s="1855"/>
      <c r="C21" s="36">
        <v>2018</v>
      </c>
      <c r="D21" s="37"/>
      <c r="E21" s="38"/>
      <c r="F21" s="38"/>
      <c r="G21" s="32">
        <v>0</v>
      </c>
      <c r="H21" s="39"/>
      <c r="I21" s="38"/>
      <c r="J21" s="38"/>
      <c r="K21" s="38"/>
      <c r="L21" s="38"/>
      <c r="M21" s="38"/>
      <c r="N21" s="38"/>
      <c r="O21" s="40"/>
      <c r="P21" s="35"/>
      <c r="Q21" s="35"/>
      <c r="R21" s="35"/>
      <c r="S21" s="35"/>
      <c r="T21" s="35"/>
      <c r="U21" s="35"/>
      <c r="V21" s="35"/>
      <c r="W21" s="35"/>
      <c r="X21" s="35"/>
      <c r="Y21" s="35"/>
    </row>
    <row r="22" spans="1:25">
      <c r="A22" s="2378"/>
      <c r="B22" s="1855"/>
      <c r="C22" s="41">
        <v>2019</v>
      </c>
      <c r="D22" s="37"/>
      <c r="E22" s="38"/>
      <c r="F22" s="38"/>
      <c r="G22" s="32">
        <v>0</v>
      </c>
      <c r="H22" s="39"/>
      <c r="I22" s="38"/>
      <c r="J22" s="38"/>
      <c r="K22" s="38"/>
      <c r="L22" s="38"/>
      <c r="M22" s="38"/>
      <c r="N22" s="38"/>
      <c r="O22" s="40"/>
      <c r="P22" s="35"/>
      <c r="Q22" s="35"/>
      <c r="R22" s="35"/>
      <c r="S22" s="35"/>
      <c r="T22" s="35"/>
      <c r="U22" s="35"/>
      <c r="V22" s="35"/>
      <c r="W22" s="35"/>
      <c r="X22" s="35"/>
      <c r="Y22" s="35"/>
    </row>
    <row r="23" spans="1:25">
      <c r="A23" s="2378"/>
      <c r="B23" s="1855"/>
      <c r="C23" s="36">
        <v>2020</v>
      </c>
      <c r="D23" s="37"/>
      <c r="E23" s="38"/>
      <c r="F23" s="38"/>
      <c r="G23" s="32">
        <v>0</v>
      </c>
      <c r="H23" s="39"/>
      <c r="I23" s="38"/>
      <c r="J23" s="38"/>
      <c r="K23" s="38"/>
      <c r="L23" s="38"/>
      <c r="M23" s="38"/>
      <c r="N23" s="38"/>
      <c r="O23" s="40"/>
      <c r="P23" s="35"/>
      <c r="Q23" s="35"/>
      <c r="R23" s="35"/>
      <c r="S23" s="35"/>
      <c r="T23" s="35"/>
      <c r="U23" s="35"/>
      <c r="V23" s="35"/>
      <c r="W23" s="35"/>
      <c r="X23" s="35"/>
      <c r="Y23" s="35"/>
    </row>
    <row r="24" spans="1:25" ht="101.25" customHeight="1" thickBot="1">
      <c r="A24" s="1856"/>
      <c r="B24" s="1857"/>
      <c r="C24" s="42" t="s">
        <v>13</v>
      </c>
      <c r="D24" s="43">
        <f>SUM(D18:D23)</f>
        <v>19</v>
      </c>
      <c r="E24" s="43">
        <f t="shared" ref="E24:O24" si="0">SUM(E18:E23)</f>
        <v>0</v>
      </c>
      <c r="F24" s="43">
        <f t="shared" si="0"/>
        <v>0</v>
      </c>
      <c r="G24" s="43">
        <f t="shared" si="0"/>
        <v>19</v>
      </c>
      <c r="H24" s="43">
        <f t="shared" si="0"/>
        <v>19</v>
      </c>
      <c r="I24" s="43">
        <f t="shared" si="0"/>
        <v>0</v>
      </c>
      <c r="J24" s="43">
        <f t="shared" si="0"/>
        <v>0</v>
      </c>
      <c r="K24" s="43">
        <f t="shared" si="0"/>
        <v>0</v>
      </c>
      <c r="L24" s="43">
        <f t="shared" si="0"/>
        <v>0</v>
      </c>
      <c r="M24" s="43">
        <f t="shared" si="0"/>
        <v>0</v>
      </c>
      <c r="N24" s="43">
        <f t="shared" si="0"/>
        <v>0</v>
      </c>
      <c r="O24" s="43">
        <f t="shared" si="0"/>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171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408" t="s">
        <v>521</v>
      </c>
      <c r="B28" s="1855"/>
      <c r="C28" s="57">
        <v>2014</v>
      </c>
      <c r="D28" s="33"/>
      <c r="E28" s="31"/>
      <c r="F28" s="31"/>
      <c r="G28" s="58">
        <v>0</v>
      </c>
      <c r="H28" s="35"/>
      <c r="I28" s="35"/>
      <c r="J28" s="35"/>
      <c r="K28" s="35"/>
      <c r="L28" s="35"/>
      <c r="M28" s="35"/>
      <c r="N28" s="35"/>
      <c r="O28" s="35"/>
      <c r="P28" s="35"/>
      <c r="Q28" s="7"/>
    </row>
    <row r="29" spans="1:25">
      <c r="A29" s="2378"/>
      <c r="B29" s="1855"/>
      <c r="C29" s="59">
        <v>2015</v>
      </c>
      <c r="D29" s="39">
        <v>80</v>
      </c>
      <c r="E29" s="38"/>
      <c r="F29" s="38"/>
      <c r="G29" s="58">
        <v>0</v>
      </c>
      <c r="H29" s="35"/>
      <c r="I29" s="35"/>
      <c r="J29" s="35"/>
      <c r="K29" s="35"/>
      <c r="L29" s="35"/>
      <c r="M29" s="35"/>
      <c r="N29" s="35"/>
      <c r="O29" s="35"/>
      <c r="P29" s="35"/>
      <c r="Q29" s="7"/>
    </row>
    <row r="30" spans="1:25">
      <c r="A30" s="2378"/>
      <c r="B30" s="1855"/>
      <c r="C30" s="59">
        <v>2016</v>
      </c>
      <c r="D30" s="433">
        <v>1000</v>
      </c>
      <c r="E30" s="38"/>
      <c r="F30" s="38"/>
      <c r="G30" s="58">
        <v>1000</v>
      </c>
      <c r="H30" s="35"/>
      <c r="I30" s="35"/>
      <c r="J30" s="35"/>
      <c r="K30" s="35"/>
      <c r="L30" s="35"/>
      <c r="M30" s="35"/>
      <c r="N30" s="35"/>
      <c r="O30" s="35"/>
      <c r="P30" s="35"/>
      <c r="Q30" s="7"/>
    </row>
    <row r="31" spans="1:25">
      <c r="A31" s="2378"/>
      <c r="B31" s="1855"/>
      <c r="C31" s="59">
        <v>2017</v>
      </c>
      <c r="D31" s="39">
        <v>9502</v>
      </c>
      <c r="E31" s="38"/>
      <c r="F31" s="38"/>
      <c r="G31" s="58">
        <v>5007</v>
      </c>
      <c r="H31" s="35"/>
      <c r="I31" s="35"/>
      <c r="J31" s="35"/>
      <c r="K31" s="35"/>
      <c r="L31" s="35"/>
      <c r="M31" s="35"/>
      <c r="N31" s="35"/>
      <c r="O31" s="35"/>
      <c r="P31" s="35"/>
      <c r="Q31" s="7"/>
    </row>
    <row r="32" spans="1:25">
      <c r="A32" s="2378"/>
      <c r="B32" s="1855"/>
      <c r="C32" s="59">
        <v>2018</v>
      </c>
      <c r="D32" s="39"/>
      <c r="E32" s="38"/>
      <c r="F32" s="38"/>
      <c r="G32" s="58">
        <v>0</v>
      </c>
      <c r="H32" s="35"/>
      <c r="I32" s="35"/>
      <c r="J32" s="35"/>
      <c r="K32" s="35"/>
      <c r="L32" s="35"/>
      <c r="M32" s="35"/>
      <c r="N32" s="35"/>
      <c r="O32" s="35"/>
      <c r="P32" s="35"/>
      <c r="Q32" s="7"/>
    </row>
    <row r="33" spans="1:17">
      <c r="A33" s="2378"/>
      <c r="B33" s="1855"/>
      <c r="C33" s="60">
        <v>2019</v>
      </c>
      <c r="D33" s="39"/>
      <c r="E33" s="38"/>
      <c r="F33" s="38"/>
      <c r="G33" s="58">
        <v>0</v>
      </c>
      <c r="H33" s="35"/>
      <c r="I33" s="35"/>
      <c r="J33" s="35"/>
      <c r="K33" s="35"/>
      <c r="L33" s="35"/>
      <c r="M33" s="35"/>
      <c r="N33" s="35"/>
      <c r="O33" s="35"/>
      <c r="P33" s="35"/>
      <c r="Q33" s="7"/>
    </row>
    <row r="34" spans="1:17">
      <c r="A34" s="2378"/>
      <c r="B34" s="1855"/>
      <c r="C34" s="59">
        <v>2020</v>
      </c>
      <c r="D34" s="39"/>
      <c r="E34" s="38"/>
      <c r="F34" s="38"/>
      <c r="G34" s="58">
        <v>0</v>
      </c>
      <c r="H34" s="35"/>
      <c r="I34" s="35"/>
      <c r="J34" s="35"/>
      <c r="K34" s="35"/>
      <c r="L34" s="35"/>
      <c r="M34" s="35"/>
      <c r="N34" s="35"/>
      <c r="O34" s="35"/>
      <c r="P34" s="35"/>
      <c r="Q34" s="7"/>
    </row>
    <row r="35" spans="1:17" ht="195" customHeight="1" thickBot="1">
      <c r="A35" s="1856"/>
      <c r="B35" s="1857"/>
      <c r="C35" s="61" t="s">
        <v>13</v>
      </c>
      <c r="D35" s="46">
        <f>SUM(D29:D34)</f>
        <v>10582</v>
      </c>
      <c r="E35" s="46">
        <f t="shared" ref="E35:G35" si="1">SUM(E29:E34)</f>
        <v>0</v>
      </c>
      <c r="F35" s="46">
        <f t="shared" si="1"/>
        <v>0</v>
      </c>
      <c r="G35" s="46">
        <f t="shared" si="1"/>
        <v>6007</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2408" t="s">
        <v>522</v>
      </c>
      <c r="B40" s="1855"/>
      <c r="C40" s="72">
        <v>2014</v>
      </c>
      <c r="D40" s="30"/>
      <c r="E40" s="29"/>
      <c r="F40" s="7"/>
      <c r="G40" s="35"/>
      <c r="H40" s="35"/>
    </row>
    <row r="41" spans="1:17">
      <c r="A41" s="2378"/>
      <c r="B41" s="1855"/>
      <c r="C41" s="73">
        <v>2015</v>
      </c>
      <c r="D41" s="37"/>
      <c r="E41" s="36"/>
      <c r="F41" s="7"/>
      <c r="G41" s="35"/>
      <c r="H41" s="35"/>
    </row>
    <row r="42" spans="1:17">
      <c r="A42" s="2378"/>
      <c r="B42" s="1855"/>
      <c r="C42" s="73">
        <v>2016</v>
      </c>
      <c r="D42" s="74">
        <v>1788</v>
      </c>
      <c r="E42" s="36">
        <v>1234</v>
      </c>
      <c r="F42" s="7"/>
      <c r="G42" s="35"/>
      <c r="H42" s="35"/>
    </row>
    <row r="43" spans="1:17">
      <c r="A43" s="2378"/>
      <c r="B43" s="1855"/>
      <c r="C43" s="73">
        <v>2017</v>
      </c>
      <c r="D43" s="37">
        <v>23324</v>
      </c>
      <c r="E43" s="36">
        <v>3883</v>
      </c>
      <c r="F43" s="7"/>
      <c r="G43" s="35"/>
      <c r="H43" s="35"/>
    </row>
    <row r="44" spans="1:17">
      <c r="A44" s="2378"/>
      <c r="B44" s="1855"/>
      <c r="C44" s="73">
        <v>2018</v>
      </c>
      <c r="D44" s="37"/>
      <c r="E44" s="36"/>
      <c r="F44" s="7"/>
      <c r="G44" s="35"/>
      <c r="H44" s="35"/>
    </row>
    <row r="45" spans="1:17">
      <c r="A45" s="2378"/>
      <c r="B45" s="1855"/>
      <c r="C45" s="73">
        <v>2019</v>
      </c>
      <c r="D45" s="37"/>
      <c r="E45" s="36"/>
      <c r="F45" s="7"/>
      <c r="G45" s="35"/>
      <c r="H45" s="35"/>
    </row>
    <row r="46" spans="1:17">
      <c r="A46" s="2378"/>
      <c r="B46" s="1855"/>
      <c r="C46" s="73">
        <v>2020</v>
      </c>
      <c r="D46" s="37"/>
      <c r="E46" s="36"/>
      <c r="F46" s="7"/>
      <c r="G46" s="35"/>
      <c r="H46" s="35"/>
    </row>
    <row r="47" spans="1:17" ht="15.75" thickBot="1">
      <c r="A47" s="1856"/>
      <c r="B47" s="1857"/>
      <c r="C47" s="42" t="s">
        <v>13</v>
      </c>
      <c r="D47" s="43">
        <f>SUM(D41:D46)</f>
        <v>25112</v>
      </c>
      <c r="E47" s="43">
        <f>SUM(E41:E46)</f>
        <v>5117</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2408"/>
      <c r="B51" s="1881"/>
      <c r="C51" s="73">
        <v>2014</v>
      </c>
      <c r="D51" s="37"/>
      <c r="E51" s="38"/>
      <c r="F51" s="38"/>
      <c r="G51" s="38"/>
      <c r="H51" s="38"/>
      <c r="I51" s="38"/>
      <c r="J51" s="38"/>
      <c r="K51" s="88"/>
    </row>
    <row r="52" spans="1:15">
      <c r="A52" s="2408"/>
      <c r="B52" s="1881"/>
      <c r="C52" s="73">
        <v>2015</v>
      </c>
      <c r="D52" s="37"/>
      <c r="E52" s="38"/>
      <c r="F52" s="38"/>
      <c r="G52" s="38"/>
      <c r="H52" s="38"/>
      <c r="I52" s="38"/>
      <c r="J52" s="38"/>
      <c r="K52" s="88"/>
    </row>
    <row r="53" spans="1:15">
      <c r="A53" s="2408"/>
      <c r="B53" s="1881"/>
      <c r="C53" s="73">
        <v>2016</v>
      </c>
      <c r="D53" s="37"/>
      <c r="E53" s="38"/>
      <c r="F53" s="38"/>
      <c r="G53" s="38"/>
      <c r="H53" s="38"/>
      <c r="I53" s="38"/>
      <c r="J53" s="38"/>
      <c r="K53" s="88"/>
    </row>
    <row r="54" spans="1:15">
      <c r="A54" s="2408"/>
      <c r="B54" s="1881"/>
      <c r="C54" s="73">
        <v>2017</v>
      </c>
      <c r="D54" s="37"/>
      <c r="E54" s="38"/>
      <c r="F54" s="38"/>
      <c r="G54" s="38"/>
      <c r="H54" s="38"/>
      <c r="I54" s="38"/>
      <c r="J54" s="38"/>
      <c r="K54" s="88"/>
    </row>
    <row r="55" spans="1:15">
      <c r="A55" s="2408"/>
      <c r="B55" s="1881"/>
      <c r="C55" s="73">
        <v>2018</v>
      </c>
      <c r="D55" s="37"/>
      <c r="E55" s="38"/>
      <c r="F55" s="38"/>
      <c r="G55" s="38"/>
      <c r="H55" s="38"/>
      <c r="I55" s="38"/>
      <c r="J55" s="38"/>
      <c r="K55" s="88"/>
    </row>
    <row r="56" spans="1:15">
      <c r="A56" s="2408"/>
      <c r="B56" s="1881"/>
      <c r="C56" s="73">
        <v>2019</v>
      </c>
      <c r="D56" s="37"/>
      <c r="E56" s="38"/>
      <c r="F56" s="38"/>
      <c r="G56" s="38"/>
      <c r="H56" s="38"/>
      <c r="I56" s="38"/>
      <c r="J56" s="38"/>
      <c r="K56" s="88"/>
    </row>
    <row r="57" spans="1:15">
      <c r="A57" s="2408"/>
      <c r="B57" s="1881"/>
      <c r="C57" s="73">
        <v>2020</v>
      </c>
      <c r="D57" s="37"/>
      <c r="E57" s="38"/>
      <c r="F57" s="38"/>
      <c r="G57" s="38"/>
      <c r="H57" s="38"/>
      <c r="I57" s="38"/>
      <c r="J57" s="38"/>
      <c r="K57" s="93"/>
    </row>
    <row r="58" spans="1:15" ht="20.25" customHeight="1" thickBot="1">
      <c r="A58" s="1876"/>
      <c r="B58" s="1883"/>
      <c r="C58" s="42" t="s">
        <v>13</v>
      </c>
      <c r="D58" s="43">
        <v>0</v>
      </c>
      <c r="E58" s="44">
        <v>0</v>
      </c>
      <c r="F58" s="44">
        <v>0</v>
      </c>
      <c r="G58" s="44">
        <v>0</v>
      </c>
      <c r="H58" s="44">
        <v>0</v>
      </c>
      <c r="I58" s="44">
        <v>0</v>
      </c>
      <c r="J58" s="44">
        <v>0</v>
      </c>
      <c r="K58" s="48">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399" t="s">
        <v>523</v>
      </c>
      <c r="B62" s="1899"/>
      <c r="C62" s="106">
        <v>2014</v>
      </c>
      <c r="D62" s="107"/>
      <c r="E62" s="108"/>
      <c r="F62" s="109"/>
      <c r="G62" s="109"/>
      <c r="H62" s="109"/>
      <c r="I62" s="109"/>
      <c r="J62" s="109"/>
      <c r="K62" s="109"/>
      <c r="L62" s="34"/>
      <c r="M62" s="7"/>
      <c r="N62" s="7"/>
      <c r="O62" s="7"/>
    </row>
    <row r="63" spans="1:15">
      <c r="A63" s="2395"/>
      <c r="B63" s="1899"/>
      <c r="C63" s="110">
        <v>2015</v>
      </c>
      <c r="D63" s="111"/>
      <c r="E63" s="112"/>
      <c r="F63" s="38"/>
      <c r="G63" s="38"/>
      <c r="H63" s="38"/>
      <c r="I63" s="38"/>
      <c r="J63" s="38"/>
      <c r="K63" s="38"/>
      <c r="L63" s="88"/>
      <c r="M63" s="7"/>
      <c r="N63" s="7"/>
      <c r="O63" s="7"/>
    </row>
    <row r="64" spans="1:15">
      <c r="A64" s="2395"/>
      <c r="B64" s="1899"/>
      <c r="C64" s="110">
        <v>2016</v>
      </c>
      <c r="D64" s="1719">
        <v>24</v>
      </c>
      <c r="E64" s="1720">
        <v>24</v>
      </c>
      <c r="F64" s="38"/>
      <c r="G64" s="38"/>
      <c r="H64" s="38"/>
      <c r="I64" s="38"/>
      <c r="J64" s="38"/>
      <c r="K64" s="38"/>
      <c r="L64" s="88"/>
      <c r="M64" s="7"/>
      <c r="N64" s="7"/>
      <c r="O64" s="7"/>
    </row>
    <row r="65" spans="1:20">
      <c r="A65" s="2395"/>
      <c r="B65" s="1899"/>
      <c r="C65" s="110">
        <v>2017</v>
      </c>
      <c r="D65" s="111">
        <v>39</v>
      </c>
      <c r="E65" s="112">
        <v>39</v>
      </c>
      <c r="F65" s="38"/>
      <c r="G65" s="38"/>
      <c r="H65" s="38"/>
      <c r="I65" s="38"/>
      <c r="J65" s="38"/>
      <c r="K65" s="38"/>
      <c r="L65" s="88"/>
      <c r="M65" s="7"/>
      <c r="N65" s="7"/>
      <c r="O65" s="7"/>
    </row>
    <row r="66" spans="1:20">
      <c r="A66" s="2395"/>
      <c r="B66" s="1899"/>
      <c r="C66" s="110">
        <v>2018</v>
      </c>
      <c r="D66" s="111"/>
      <c r="E66" s="112"/>
      <c r="F66" s="38"/>
      <c r="G66" s="38"/>
      <c r="H66" s="38"/>
      <c r="I66" s="38"/>
      <c r="J66" s="38"/>
      <c r="K66" s="38"/>
      <c r="L66" s="88"/>
      <c r="M66" s="7"/>
      <c r="N66" s="7"/>
      <c r="O66" s="7"/>
    </row>
    <row r="67" spans="1:20" ht="17.25" customHeight="1">
      <c r="A67" s="2395"/>
      <c r="B67" s="1899"/>
      <c r="C67" s="110">
        <v>2019</v>
      </c>
      <c r="D67" s="111"/>
      <c r="E67" s="112"/>
      <c r="F67" s="38"/>
      <c r="G67" s="38"/>
      <c r="H67" s="38"/>
      <c r="I67" s="38"/>
      <c r="J67" s="38"/>
      <c r="K67" s="38"/>
      <c r="L67" s="88"/>
      <c r="M67" s="7"/>
      <c r="N67" s="7"/>
      <c r="O67" s="7"/>
    </row>
    <row r="68" spans="1:20" ht="16.5" customHeight="1">
      <c r="A68" s="2395"/>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SUM(D63:D68)</f>
        <v>63</v>
      </c>
      <c r="E69" s="114">
        <f t="shared" ref="E69:L69" si="2">SUM(E63:E68)</f>
        <v>63</v>
      </c>
      <c r="F69" s="114">
        <f t="shared" si="2"/>
        <v>0</v>
      </c>
      <c r="G69" s="114">
        <f t="shared" si="2"/>
        <v>0</v>
      </c>
      <c r="H69" s="114">
        <f t="shared" si="2"/>
        <v>0</v>
      </c>
      <c r="I69" s="114">
        <f t="shared" si="2"/>
        <v>0</v>
      </c>
      <c r="J69" s="114">
        <f t="shared" si="2"/>
        <v>0</v>
      </c>
      <c r="K69" s="114">
        <f t="shared" si="2"/>
        <v>0</v>
      </c>
      <c r="L69" s="114">
        <f t="shared" si="2"/>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408" t="s">
        <v>524</v>
      </c>
      <c r="B72" s="1899"/>
      <c r="C72" s="72">
        <v>2014</v>
      </c>
      <c r="D72" s="131"/>
      <c r="E72" s="131"/>
      <c r="F72" s="131"/>
      <c r="G72" s="132">
        <v>0</v>
      </c>
      <c r="H72" s="30"/>
      <c r="I72" s="133"/>
      <c r="J72" s="109"/>
      <c r="K72" s="109"/>
      <c r="L72" s="109"/>
      <c r="M72" s="109"/>
      <c r="N72" s="109"/>
      <c r="O72" s="134"/>
    </row>
    <row r="73" spans="1:20">
      <c r="A73" s="2378"/>
      <c r="B73" s="1899"/>
      <c r="C73" s="73">
        <v>2015</v>
      </c>
      <c r="D73" s="135"/>
      <c r="E73" s="135"/>
      <c r="F73" s="135"/>
      <c r="G73" s="132">
        <v>0</v>
      </c>
      <c r="H73" s="37"/>
      <c r="I73" s="37"/>
      <c r="J73" s="38"/>
      <c r="K73" s="38"/>
      <c r="L73" s="38"/>
      <c r="M73" s="38"/>
      <c r="N73" s="38"/>
      <c r="O73" s="88"/>
    </row>
    <row r="74" spans="1:20">
      <c r="A74" s="2378"/>
      <c r="B74" s="1899"/>
      <c r="C74" s="73">
        <v>2016</v>
      </c>
      <c r="D74" s="135"/>
      <c r="E74" s="135"/>
      <c r="F74" s="135"/>
      <c r="G74" s="132">
        <v>0</v>
      </c>
      <c r="H74" s="37"/>
      <c r="I74" s="37"/>
      <c r="J74" s="38"/>
      <c r="K74" s="38"/>
      <c r="L74" s="38"/>
      <c r="M74" s="38"/>
      <c r="N74" s="38"/>
      <c r="O74" s="88"/>
    </row>
    <row r="75" spans="1:20">
      <c r="A75" s="2378"/>
      <c r="B75" s="1899"/>
      <c r="C75" s="73">
        <v>2017</v>
      </c>
      <c r="D75" s="135">
        <v>1</v>
      </c>
      <c r="E75" s="135"/>
      <c r="F75" s="135"/>
      <c r="G75" s="132">
        <v>0</v>
      </c>
      <c r="H75" s="37">
        <v>1</v>
      </c>
      <c r="I75" s="37"/>
      <c r="J75" s="38"/>
      <c r="K75" s="38"/>
      <c r="L75" s="38"/>
      <c r="M75" s="38"/>
      <c r="N75" s="38"/>
      <c r="O75" s="88"/>
    </row>
    <row r="76" spans="1:20">
      <c r="A76" s="2378"/>
      <c r="B76" s="1899"/>
      <c r="C76" s="73">
        <v>2018</v>
      </c>
      <c r="D76" s="135"/>
      <c r="E76" s="135"/>
      <c r="F76" s="135"/>
      <c r="G76" s="132">
        <v>0</v>
      </c>
      <c r="H76" s="37"/>
      <c r="I76" s="37"/>
      <c r="J76" s="38"/>
      <c r="K76" s="38"/>
      <c r="L76" s="38"/>
      <c r="M76" s="38"/>
      <c r="N76" s="38"/>
      <c r="O76" s="88"/>
    </row>
    <row r="77" spans="1:20" ht="15.75" customHeight="1">
      <c r="A77" s="2378"/>
      <c r="B77" s="1899"/>
      <c r="C77" s="73">
        <v>2019</v>
      </c>
      <c r="D77" s="135"/>
      <c r="E77" s="135"/>
      <c r="F77" s="135"/>
      <c r="G77" s="132">
        <v>0</v>
      </c>
      <c r="H77" s="37"/>
      <c r="I77" s="37"/>
      <c r="J77" s="38"/>
      <c r="K77" s="38"/>
      <c r="L77" s="38"/>
      <c r="M77" s="38"/>
      <c r="N77" s="38"/>
      <c r="O77" s="88"/>
    </row>
    <row r="78" spans="1:20" ht="17.25" customHeight="1">
      <c r="A78" s="2378"/>
      <c r="B78" s="1899"/>
      <c r="C78" s="73">
        <v>2020</v>
      </c>
      <c r="D78" s="135"/>
      <c r="E78" s="135"/>
      <c r="F78" s="135"/>
      <c r="G78" s="132">
        <v>0</v>
      </c>
      <c r="H78" s="37"/>
      <c r="I78" s="37"/>
      <c r="J78" s="38"/>
      <c r="K78" s="38"/>
      <c r="L78" s="38"/>
      <c r="M78" s="38"/>
      <c r="N78" s="38"/>
      <c r="O78" s="88"/>
    </row>
    <row r="79" spans="1:20" ht="20.25" customHeight="1" thickBot="1">
      <c r="A79" s="1980"/>
      <c r="B79" s="1900"/>
      <c r="C79" s="136" t="s">
        <v>13</v>
      </c>
      <c r="D79" s="114">
        <v>0</v>
      </c>
      <c r="E79" s="114">
        <v>0</v>
      </c>
      <c r="F79" s="114">
        <v>0</v>
      </c>
      <c r="G79" s="137">
        <v>0</v>
      </c>
      <c r="H79" s="138">
        <v>0</v>
      </c>
      <c r="I79" s="139">
        <v>0</v>
      </c>
      <c r="J79" s="116">
        <v>0</v>
      </c>
      <c r="K79" s="116">
        <v>0</v>
      </c>
      <c r="L79" s="116">
        <v>0</v>
      </c>
      <c r="M79" s="116">
        <v>0</v>
      </c>
      <c r="N79" s="116">
        <v>0</v>
      </c>
      <c r="O79" s="117">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2643"/>
      <c r="B85" s="1899"/>
      <c r="C85" s="72">
        <v>2014</v>
      </c>
      <c r="D85" s="154"/>
      <c r="E85" s="155"/>
      <c r="F85" s="31"/>
      <c r="G85" s="31"/>
      <c r="H85" s="31"/>
      <c r="I85" s="31"/>
      <c r="J85" s="31"/>
      <c r="K85" s="34"/>
    </row>
    <row r="86" spans="1:16">
      <c r="A86" s="2416"/>
      <c r="B86" s="1899"/>
      <c r="C86" s="73">
        <v>2015</v>
      </c>
      <c r="D86" s="156"/>
      <c r="E86" s="112"/>
      <c r="F86" s="38"/>
      <c r="G86" s="38"/>
      <c r="H86" s="38"/>
      <c r="I86" s="38"/>
      <c r="J86" s="38"/>
      <c r="K86" s="88"/>
    </row>
    <row r="87" spans="1:16">
      <c r="A87" s="2416"/>
      <c r="B87" s="1899"/>
      <c r="C87" s="73">
        <v>2016</v>
      </c>
      <c r="D87" s="156"/>
      <c r="E87" s="112"/>
      <c r="F87" s="38"/>
      <c r="G87" s="38"/>
      <c r="H87" s="38"/>
      <c r="I87" s="38"/>
      <c r="J87" s="38"/>
      <c r="K87" s="88"/>
    </row>
    <row r="88" spans="1:16">
      <c r="A88" s="2416"/>
      <c r="B88" s="1899"/>
      <c r="C88" s="73">
        <v>2017</v>
      </c>
      <c r="D88" s="156"/>
      <c r="E88" s="112"/>
      <c r="F88" s="38"/>
      <c r="G88" s="38"/>
      <c r="H88" s="38"/>
      <c r="I88" s="38"/>
      <c r="J88" s="38"/>
      <c r="K88" s="88"/>
    </row>
    <row r="89" spans="1:16">
      <c r="A89" s="2416"/>
      <c r="B89" s="1899"/>
      <c r="C89" s="73">
        <v>2018</v>
      </c>
      <c r="D89" s="156"/>
      <c r="E89" s="112"/>
      <c r="F89" s="38"/>
      <c r="G89" s="38"/>
      <c r="H89" s="38"/>
      <c r="I89" s="38"/>
      <c r="J89" s="38"/>
      <c r="K89" s="88"/>
    </row>
    <row r="90" spans="1:16">
      <c r="A90" s="2416"/>
      <c r="B90" s="1899"/>
      <c r="C90" s="73">
        <v>2019</v>
      </c>
      <c r="D90" s="156"/>
      <c r="E90" s="112"/>
      <c r="F90" s="38"/>
      <c r="G90" s="38"/>
      <c r="H90" s="38"/>
      <c r="I90" s="38"/>
      <c r="J90" s="38"/>
      <c r="K90" s="88"/>
    </row>
    <row r="91" spans="1:16">
      <c r="A91" s="2416"/>
      <c r="B91" s="1899"/>
      <c r="C91" s="73">
        <v>2020</v>
      </c>
      <c r="D91" s="156"/>
      <c r="E91" s="112"/>
      <c r="F91" s="38"/>
      <c r="G91" s="38"/>
      <c r="H91" s="38"/>
      <c r="I91" s="38"/>
      <c r="J91" s="38"/>
      <c r="K91" s="88"/>
    </row>
    <row r="92" spans="1:16" ht="18" customHeight="1" thickBot="1">
      <c r="A92" s="1940"/>
      <c r="B92" s="1900"/>
      <c r="C92" s="136" t="s">
        <v>13</v>
      </c>
      <c r="D92" s="157">
        <v>0</v>
      </c>
      <c r="E92" s="115">
        <v>0</v>
      </c>
      <c r="F92" s="116">
        <v>0</v>
      </c>
      <c r="G92" s="116">
        <v>0</v>
      </c>
      <c r="H92" s="116">
        <v>0</v>
      </c>
      <c r="I92" s="116">
        <v>0</v>
      </c>
      <c r="J92" s="116">
        <v>0</v>
      </c>
      <c r="K92" s="117">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399"/>
      <c r="B98" s="1899"/>
      <c r="C98" s="106">
        <v>2014</v>
      </c>
      <c r="D98" s="30"/>
      <c r="E98" s="31"/>
      <c r="F98" s="174"/>
      <c r="G98" s="175"/>
      <c r="H98" s="175"/>
      <c r="I98" s="175"/>
      <c r="J98" s="175"/>
      <c r="K98" s="175"/>
      <c r="L98" s="175"/>
      <c r="M98" s="176"/>
      <c r="N98" s="165"/>
      <c r="O98" s="165"/>
      <c r="P98" s="165"/>
    </row>
    <row r="99" spans="1:16" ht="16.5" customHeight="1">
      <c r="A99" s="2395"/>
      <c r="B99" s="1899"/>
      <c r="C99" s="110">
        <v>2015</v>
      </c>
      <c r="D99" s="37"/>
      <c r="E99" s="38"/>
      <c r="F99" s="177"/>
      <c r="G99" s="178"/>
      <c r="H99" s="178"/>
      <c r="I99" s="178"/>
      <c r="J99" s="178"/>
      <c r="K99" s="178"/>
      <c r="L99" s="178"/>
      <c r="M99" s="179"/>
      <c r="N99" s="165"/>
      <c r="O99" s="165"/>
      <c r="P99" s="165"/>
    </row>
    <row r="100" spans="1:16" ht="16.5" customHeight="1">
      <c r="A100" s="2395"/>
      <c r="B100" s="1899"/>
      <c r="C100" s="110">
        <v>2016</v>
      </c>
      <c r="D100" s="37"/>
      <c r="E100" s="38"/>
      <c r="F100" s="177"/>
      <c r="G100" s="178"/>
      <c r="H100" s="178"/>
      <c r="I100" s="178"/>
      <c r="J100" s="178"/>
      <c r="K100" s="178"/>
      <c r="L100" s="178"/>
      <c r="M100" s="179"/>
      <c r="N100" s="165"/>
      <c r="O100" s="165"/>
      <c r="P100" s="165"/>
    </row>
    <row r="101" spans="1:16" ht="16.5" customHeight="1">
      <c r="A101" s="2395"/>
      <c r="B101" s="1899"/>
      <c r="C101" s="110">
        <v>2017</v>
      </c>
      <c r="D101" s="37"/>
      <c r="E101" s="38"/>
      <c r="F101" s="177"/>
      <c r="G101" s="178"/>
      <c r="H101" s="178"/>
      <c r="I101" s="178"/>
      <c r="J101" s="178"/>
      <c r="K101" s="178"/>
      <c r="L101" s="178"/>
      <c r="M101" s="179"/>
      <c r="N101" s="165"/>
      <c r="O101" s="165"/>
      <c r="P101" s="165"/>
    </row>
    <row r="102" spans="1:16" ht="15.75" customHeight="1">
      <c r="A102" s="2395"/>
      <c r="B102" s="1899"/>
      <c r="C102" s="110">
        <v>2018</v>
      </c>
      <c r="D102" s="37"/>
      <c r="E102" s="38"/>
      <c r="F102" s="177"/>
      <c r="G102" s="178"/>
      <c r="H102" s="178"/>
      <c r="I102" s="178"/>
      <c r="J102" s="178"/>
      <c r="K102" s="178"/>
      <c r="L102" s="178"/>
      <c r="M102" s="179"/>
      <c r="N102" s="165"/>
      <c r="O102" s="165"/>
      <c r="P102" s="165"/>
    </row>
    <row r="103" spans="1:16" ht="14.25" customHeight="1">
      <c r="A103" s="2395"/>
      <c r="B103" s="1899"/>
      <c r="C103" s="110">
        <v>2019</v>
      </c>
      <c r="D103" s="37"/>
      <c r="E103" s="38"/>
      <c r="F103" s="177"/>
      <c r="G103" s="178"/>
      <c r="H103" s="178"/>
      <c r="I103" s="178"/>
      <c r="J103" s="178"/>
      <c r="K103" s="178"/>
      <c r="L103" s="178"/>
      <c r="M103" s="179"/>
      <c r="N103" s="165"/>
      <c r="O103" s="165"/>
      <c r="P103" s="165"/>
    </row>
    <row r="104" spans="1:16" ht="14.25" customHeight="1">
      <c r="A104" s="2395"/>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v>0</v>
      </c>
      <c r="E105" s="116">
        <v>0</v>
      </c>
      <c r="F105" s="180">
        <v>0</v>
      </c>
      <c r="G105" s="181">
        <v>0</v>
      </c>
      <c r="H105" s="181">
        <v>0</v>
      </c>
      <c r="I105" s="181">
        <v>0</v>
      </c>
      <c r="J105" s="181">
        <v>0</v>
      </c>
      <c r="K105" s="181">
        <v>0</v>
      </c>
      <c r="L105" s="181">
        <v>0</v>
      </c>
      <c r="M105" s="182">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399"/>
      <c r="B109" s="1899"/>
      <c r="C109" s="106">
        <v>2014</v>
      </c>
      <c r="D109" s="31"/>
      <c r="E109" s="174"/>
      <c r="F109" s="175"/>
      <c r="G109" s="175"/>
      <c r="H109" s="175"/>
      <c r="I109" s="175"/>
      <c r="J109" s="175"/>
      <c r="K109" s="175"/>
      <c r="L109" s="176"/>
      <c r="M109" s="185"/>
      <c r="N109" s="185"/>
    </row>
    <row r="110" spans="1:16">
      <c r="A110" s="2395"/>
      <c r="B110" s="1899"/>
      <c r="C110" s="110">
        <v>2015</v>
      </c>
      <c r="D110" s="38"/>
      <c r="E110" s="177"/>
      <c r="F110" s="178"/>
      <c r="G110" s="178"/>
      <c r="H110" s="178"/>
      <c r="I110" s="178"/>
      <c r="J110" s="178"/>
      <c r="K110" s="178"/>
      <c r="L110" s="179"/>
      <c r="M110" s="185"/>
      <c r="N110" s="185"/>
    </row>
    <row r="111" spans="1:16">
      <c r="A111" s="2395"/>
      <c r="B111" s="1899"/>
      <c r="C111" s="110">
        <v>2016</v>
      </c>
      <c r="D111" s="38"/>
      <c r="E111" s="177"/>
      <c r="F111" s="178"/>
      <c r="G111" s="178"/>
      <c r="H111" s="178"/>
      <c r="I111" s="178"/>
      <c r="J111" s="178"/>
      <c r="K111" s="178"/>
      <c r="L111" s="179"/>
      <c r="M111" s="185"/>
      <c r="N111" s="185"/>
    </row>
    <row r="112" spans="1:16">
      <c r="A112" s="2395"/>
      <c r="B112" s="1899"/>
      <c r="C112" s="110">
        <v>2017</v>
      </c>
      <c r="D112" s="38"/>
      <c r="E112" s="177"/>
      <c r="F112" s="178"/>
      <c r="G112" s="178"/>
      <c r="H112" s="178"/>
      <c r="I112" s="178"/>
      <c r="J112" s="178"/>
      <c r="K112" s="178"/>
      <c r="L112" s="179"/>
      <c r="M112" s="185"/>
      <c r="N112" s="185"/>
    </row>
    <row r="113" spans="1:14">
      <c r="A113" s="2395"/>
      <c r="B113" s="1899"/>
      <c r="C113" s="110">
        <v>2018</v>
      </c>
      <c r="D113" s="38"/>
      <c r="E113" s="177"/>
      <c r="F113" s="178"/>
      <c r="G113" s="178"/>
      <c r="H113" s="178"/>
      <c r="I113" s="178"/>
      <c r="J113" s="178"/>
      <c r="K113" s="178"/>
      <c r="L113" s="179"/>
      <c r="M113" s="185"/>
      <c r="N113" s="185"/>
    </row>
    <row r="114" spans="1:14">
      <c r="A114" s="2395"/>
      <c r="B114" s="1899"/>
      <c r="C114" s="110">
        <v>2019</v>
      </c>
      <c r="D114" s="38"/>
      <c r="E114" s="177"/>
      <c r="F114" s="178"/>
      <c r="G114" s="178"/>
      <c r="H114" s="178"/>
      <c r="I114" s="178"/>
      <c r="J114" s="178"/>
      <c r="K114" s="178"/>
      <c r="L114" s="179"/>
      <c r="M114" s="185"/>
      <c r="N114" s="185"/>
    </row>
    <row r="115" spans="1:14">
      <c r="A115" s="2395"/>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v>0</v>
      </c>
      <c r="E116" s="180">
        <v>0</v>
      </c>
      <c r="F116" s="181">
        <v>0</v>
      </c>
      <c r="G116" s="181">
        <v>0</v>
      </c>
      <c r="H116" s="181">
        <v>0</v>
      </c>
      <c r="I116" s="181">
        <v>0</v>
      </c>
      <c r="J116" s="181"/>
      <c r="K116" s="181">
        <v>0</v>
      </c>
      <c r="L116" s="182">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399"/>
      <c r="B120" s="1899"/>
      <c r="C120" s="106">
        <v>2014</v>
      </c>
      <c r="D120" s="31"/>
      <c r="E120" s="174"/>
      <c r="F120" s="175"/>
      <c r="G120" s="175"/>
      <c r="H120" s="175"/>
      <c r="I120" s="175"/>
      <c r="J120" s="175"/>
      <c r="K120" s="175"/>
      <c r="L120" s="176"/>
      <c r="M120" s="185"/>
      <c r="N120" s="185"/>
    </row>
    <row r="121" spans="1:14">
      <c r="A121" s="2395"/>
      <c r="B121" s="1899"/>
      <c r="C121" s="110">
        <v>2015</v>
      </c>
      <c r="D121" s="38"/>
      <c r="E121" s="177"/>
      <c r="F121" s="178"/>
      <c r="G121" s="178"/>
      <c r="H121" s="178"/>
      <c r="I121" s="178"/>
      <c r="J121" s="178"/>
      <c r="K121" s="178"/>
      <c r="L121" s="179"/>
      <c r="M121" s="185"/>
      <c r="N121" s="185"/>
    </row>
    <row r="122" spans="1:14">
      <c r="A122" s="2395"/>
      <c r="B122" s="1899"/>
      <c r="C122" s="110">
        <v>2016</v>
      </c>
      <c r="D122" s="38"/>
      <c r="E122" s="177"/>
      <c r="F122" s="178"/>
      <c r="G122" s="178"/>
      <c r="H122" s="178"/>
      <c r="I122" s="178"/>
      <c r="J122" s="178"/>
      <c r="K122" s="178"/>
      <c r="L122" s="179"/>
      <c r="M122" s="185"/>
      <c r="N122" s="185"/>
    </row>
    <row r="123" spans="1:14">
      <c r="A123" s="2395"/>
      <c r="B123" s="1899"/>
      <c r="C123" s="110">
        <v>2017</v>
      </c>
      <c r="D123" s="38"/>
      <c r="E123" s="177"/>
      <c r="F123" s="178"/>
      <c r="G123" s="178"/>
      <c r="H123" s="178"/>
      <c r="I123" s="178"/>
      <c r="J123" s="178"/>
      <c r="K123" s="178"/>
      <c r="L123" s="179"/>
      <c r="M123" s="185"/>
      <c r="N123" s="185"/>
    </row>
    <row r="124" spans="1:14">
      <c r="A124" s="2395"/>
      <c r="B124" s="1899"/>
      <c r="C124" s="110">
        <v>2018</v>
      </c>
      <c r="D124" s="38"/>
      <c r="E124" s="177"/>
      <c r="F124" s="178"/>
      <c r="G124" s="178"/>
      <c r="H124" s="178"/>
      <c r="I124" s="178"/>
      <c r="J124" s="178"/>
      <c r="K124" s="178"/>
      <c r="L124" s="179"/>
      <c r="M124" s="185"/>
      <c r="N124" s="185"/>
    </row>
    <row r="125" spans="1:14">
      <c r="A125" s="2395"/>
      <c r="B125" s="1899"/>
      <c r="C125" s="110">
        <v>2019</v>
      </c>
      <c r="D125" s="38"/>
      <c r="E125" s="177"/>
      <c r="F125" s="178"/>
      <c r="G125" s="178"/>
      <c r="H125" s="178"/>
      <c r="I125" s="178"/>
      <c r="J125" s="178"/>
      <c r="K125" s="178"/>
      <c r="L125" s="179"/>
      <c r="M125" s="185"/>
      <c r="N125" s="185"/>
    </row>
    <row r="126" spans="1:14">
      <c r="A126" s="2395"/>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v>0</v>
      </c>
      <c r="E127" s="180">
        <v>0</v>
      </c>
      <c r="F127" s="181">
        <v>0</v>
      </c>
      <c r="G127" s="181">
        <v>0</v>
      </c>
      <c r="H127" s="181">
        <v>0</v>
      </c>
      <c r="I127" s="181">
        <v>0</v>
      </c>
      <c r="J127" s="181"/>
      <c r="K127" s="181">
        <v>0</v>
      </c>
      <c r="L127" s="182">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2408"/>
      <c r="B131" s="1855"/>
      <c r="C131" s="106">
        <v>2015</v>
      </c>
      <c r="D131" s="30"/>
      <c r="E131" s="31"/>
      <c r="F131" s="31"/>
      <c r="G131" s="195">
        <v>0</v>
      </c>
      <c r="H131" s="185"/>
      <c r="I131" s="185"/>
      <c r="J131" s="185"/>
      <c r="K131" s="185"/>
      <c r="L131" s="185"/>
      <c r="M131" s="185"/>
      <c r="N131" s="185"/>
    </row>
    <row r="132" spans="1:16">
      <c r="A132" s="2378"/>
      <c r="B132" s="1855"/>
      <c r="C132" s="110">
        <v>2016</v>
      </c>
      <c r="D132" s="37"/>
      <c r="E132" s="38"/>
      <c r="F132" s="38"/>
      <c r="G132" s="195">
        <v>0</v>
      </c>
      <c r="H132" s="185"/>
      <c r="I132" s="185"/>
      <c r="J132" s="185"/>
      <c r="K132" s="185"/>
      <c r="L132" s="185"/>
      <c r="M132" s="185"/>
      <c r="N132" s="185"/>
    </row>
    <row r="133" spans="1:16">
      <c r="A133" s="2378"/>
      <c r="B133" s="1855"/>
      <c r="C133" s="110">
        <v>2017</v>
      </c>
      <c r="D133" s="37"/>
      <c r="E133" s="38"/>
      <c r="F133" s="38"/>
      <c r="G133" s="195">
        <v>0</v>
      </c>
      <c r="H133" s="185"/>
      <c r="I133" s="185"/>
      <c r="J133" s="185"/>
      <c r="K133" s="185"/>
      <c r="L133" s="185"/>
      <c r="M133" s="185"/>
      <c r="N133" s="185"/>
    </row>
    <row r="134" spans="1:16">
      <c r="A134" s="2378"/>
      <c r="B134" s="1855"/>
      <c r="C134" s="110">
        <v>2018</v>
      </c>
      <c r="D134" s="37"/>
      <c r="E134" s="38"/>
      <c r="F134" s="38"/>
      <c r="G134" s="195">
        <v>0</v>
      </c>
      <c r="H134" s="185"/>
      <c r="I134" s="185"/>
      <c r="J134" s="185"/>
      <c r="K134" s="185"/>
      <c r="L134" s="185"/>
      <c r="M134" s="185"/>
      <c r="N134" s="185"/>
    </row>
    <row r="135" spans="1:16">
      <c r="A135" s="2378"/>
      <c r="B135" s="1855"/>
      <c r="C135" s="110">
        <v>2019</v>
      </c>
      <c r="D135" s="37"/>
      <c r="E135" s="38"/>
      <c r="F135" s="38"/>
      <c r="G135" s="195">
        <v>0</v>
      </c>
      <c r="H135" s="185"/>
      <c r="I135" s="185"/>
      <c r="J135" s="185"/>
      <c r="K135" s="185"/>
      <c r="L135" s="185"/>
      <c r="M135" s="185"/>
      <c r="N135" s="185"/>
    </row>
    <row r="136" spans="1:16">
      <c r="A136" s="2378"/>
      <c r="B136" s="1855"/>
      <c r="C136" s="110">
        <v>2020</v>
      </c>
      <c r="D136" s="37"/>
      <c r="E136" s="38"/>
      <c r="F136" s="38"/>
      <c r="G136" s="195">
        <v>0</v>
      </c>
      <c r="H136" s="185"/>
      <c r="I136" s="185"/>
      <c r="J136" s="185"/>
      <c r="K136" s="185"/>
      <c r="L136" s="185"/>
      <c r="M136" s="185"/>
      <c r="N136" s="185"/>
    </row>
    <row r="137" spans="1:16" ht="17.25" customHeight="1" thickBot="1">
      <c r="A137" s="1856"/>
      <c r="B137" s="1857"/>
      <c r="C137" s="113" t="s">
        <v>13</v>
      </c>
      <c r="D137" s="139">
        <v>0</v>
      </c>
      <c r="E137" s="139">
        <v>0</v>
      </c>
      <c r="F137" s="139">
        <v>0</v>
      </c>
      <c r="G137" s="196">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399"/>
      <c r="B144" s="1899"/>
      <c r="C144" s="106">
        <v>2014</v>
      </c>
      <c r="D144" s="30"/>
      <c r="E144" s="30"/>
      <c r="F144" s="31"/>
      <c r="G144" s="175"/>
      <c r="H144" s="175"/>
      <c r="I144" s="213">
        <v>0</v>
      </c>
      <c r="J144" s="214"/>
      <c r="K144" s="215"/>
      <c r="L144" s="214"/>
      <c r="M144" s="215"/>
      <c r="N144" s="216"/>
      <c r="O144" s="165"/>
      <c r="P144" s="165"/>
    </row>
    <row r="145" spans="1:16" ht="19.5" customHeight="1">
      <c r="A145" s="2395"/>
      <c r="B145" s="1899"/>
      <c r="C145" s="110">
        <v>2015</v>
      </c>
      <c r="D145" s="37"/>
      <c r="E145" s="37"/>
      <c r="F145" s="38"/>
      <c r="G145" s="178"/>
      <c r="H145" s="178"/>
      <c r="I145" s="213">
        <v>0</v>
      </c>
      <c r="J145" s="217"/>
      <c r="K145" s="218"/>
      <c r="L145" s="217"/>
      <c r="M145" s="218"/>
      <c r="N145" s="219"/>
      <c r="O145" s="165"/>
      <c r="P145" s="165"/>
    </row>
    <row r="146" spans="1:16" ht="20.25" customHeight="1">
      <c r="A146" s="2395"/>
      <c r="B146" s="1899"/>
      <c r="C146" s="110">
        <v>2016</v>
      </c>
      <c r="D146" s="37"/>
      <c r="E146" s="37"/>
      <c r="F146" s="38"/>
      <c r="G146" s="178"/>
      <c r="H146" s="178"/>
      <c r="I146" s="213">
        <v>0</v>
      </c>
      <c r="J146" s="217"/>
      <c r="K146" s="218"/>
      <c r="L146" s="217"/>
      <c r="M146" s="218"/>
      <c r="N146" s="219"/>
      <c r="O146" s="165"/>
      <c r="P146" s="165"/>
    </row>
    <row r="147" spans="1:16" ht="17.25" customHeight="1">
      <c r="A147" s="2395"/>
      <c r="B147" s="1899"/>
      <c r="C147" s="110">
        <v>2017</v>
      </c>
      <c r="D147" s="37"/>
      <c r="E147" s="37"/>
      <c r="F147" s="38"/>
      <c r="G147" s="178"/>
      <c r="H147" s="178"/>
      <c r="I147" s="213">
        <v>0</v>
      </c>
      <c r="J147" s="217"/>
      <c r="K147" s="218"/>
      <c r="L147" s="217"/>
      <c r="M147" s="218"/>
      <c r="N147" s="219"/>
      <c r="O147" s="165"/>
      <c r="P147" s="165"/>
    </row>
    <row r="148" spans="1:16" ht="19.5" customHeight="1">
      <c r="A148" s="2395"/>
      <c r="B148" s="1899"/>
      <c r="C148" s="110">
        <v>2018</v>
      </c>
      <c r="D148" s="37"/>
      <c r="E148" s="37"/>
      <c r="F148" s="38"/>
      <c r="G148" s="178"/>
      <c r="H148" s="178"/>
      <c r="I148" s="213">
        <v>0</v>
      </c>
      <c r="J148" s="217"/>
      <c r="K148" s="218"/>
      <c r="L148" s="217"/>
      <c r="M148" s="218"/>
      <c r="N148" s="219"/>
      <c r="O148" s="165"/>
      <c r="P148" s="165"/>
    </row>
    <row r="149" spans="1:16" ht="19.5" customHeight="1">
      <c r="A149" s="2395"/>
      <c r="B149" s="1899"/>
      <c r="C149" s="110">
        <v>2019</v>
      </c>
      <c r="D149" s="37"/>
      <c r="E149" s="37"/>
      <c r="F149" s="38"/>
      <c r="G149" s="178"/>
      <c r="H149" s="178"/>
      <c r="I149" s="213">
        <v>0</v>
      </c>
      <c r="J149" s="217"/>
      <c r="K149" s="218"/>
      <c r="L149" s="217"/>
      <c r="M149" s="218"/>
      <c r="N149" s="219"/>
      <c r="O149" s="165"/>
      <c r="P149" s="165"/>
    </row>
    <row r="150" spans="1:16" ht="18.75" customHeight="1">
      <c r="A150" s="2395"/>
      <c r="B150" s="1899"/>
      <c r="C150" s="110">
        <v>2020</v>
      </c>
      <c r="D150" s="37"/>
      <c r="E150" s="37"/>
      <c r="F150" s="38"/>
      <c r="G150" s="178"/>
      <c r="H150" s="178"/>
      <c r="I150" s="213">
        <v>0</v>
      </c>
      <c r="J150" s="217"/>
      <c r="K150" s="218"/>
      <c r="L150" s="217"/>
      <c r="M150" s="218"/>
      <c r="N150" s="219"/>
      <c r="O150" s="165"/>
      <c r="P150" s="165"/>
    </row>
    <row r="151" spans="1:16" ht="18" customHeight="1" thickBot="1">
      <c r="A151" s="1893"/>
      <c r="B151" s="1900"/>
      <c r="C151" s="113" t="s">
        <v>13</v>
      </c>
      <c r="D151" s="139">
        <v>0</v>
      </c>
      <c r="E151" s="139">
        <v>0</v>
      </c>
      <c r="F151" s="139">
        <v>0</v>
      </c>
      <c r="G151" s="139">
        <v>0</v>
      </c>
      <c r="H151" s="139">
        <v>0</v>
      </c>
      <c r="I151" s="220">
        <v>0</v>
      </c>
      <c r="J151" s="221">
        <v>0</v>
      </c>
      <c r="K151" s="222">
        <v>0</v>
      </c>
      <c r="L151" s="221">
        <v>0</v>
      </c>
      <c r="M151" s="222">
        <v>0</v>
      </c>
      <c r="N151" s="223">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2401"/>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399"/>
      <c r="B155" s="1899"/>
      <c r="C155" s="233">
        <v>2014</v>
      </c>
      <c r="D155" s="214"/>
      <c r="E155" s="175"/>
      <c r="F155" s="215"/>
      <c r="G155" s="213">
        <v>0</v>
      </c>
      <c r="H155" s="214"/>
      <c r="I155" s="175"/>
      <c r="J155" s="176"/>
      <c r="O155" s="165"/>
      <c r="P155" s="165"/>
    </row>
    <row r="156" spans="1:16" ht="19.5" customHeight="1">
      <c r="A156" s="2395"/>
      <c r="B156" s="1899"/>
      <c r="C156" s="234">
        <v>2015</v>
      </c>
      <c r="D156" s="217"/>
      <c r="E156" s="178"/>
      <c r="F156" s="218"/>
      <c r="G156" s="213">
        <v>0</v>
      </c>
      <c r="H156" s="217"/>
      <c r="I156" s="178"/>
      <c r="J156" s="179"/>
      <c r="O156" s="165"/>
      <c r="P156" s="165"/>
    </row>
    <row r="157" spans="1:16" ht="17.25" customHeight="1">
      <c r="A157" s="2395"/>
      <c r="B157" s="1899"/>
      <c r="C157" s="234">
        <v>2016</v>
      </c>
      <c r="D157" s="217"/>
      <c r="E157" s="178"/>
      <c r="F157" s="218"/>
      <c r="G157" s="213">
        <v>0</v>
      </c>
      <c r="H157" s="217"/>
      <c r="I157" s="178"/>
      <c r="J157" s="179"/>
      <c r="O157" s="165"/>
      <c r="P157" s="165"/>
    </row>
    <row r="158" spans="1:16" ht="15" customHeight="1">
      <c r="A158" s="2395"/>
      <c r="B158" s="1899"/>
      <c r="C158" s="234">
        <v>2017</v>
      </c>
      <c r="D158" s="217"/>
      <c r="E158" s="178"/>
      <c r="F158" s="218"/>
      <c r="G158" s="213">
        <v>0</v>
      </c>
      <c r="H158" s="217"/>
      <c r="I158" s="178"/>
      <c r="J158" s="179"/>
      <c r="O158" s="165"/>
      <c r="P158" s="165"/>
    </row>
    <row r="159" spans="1:16" ht="19.5" customHeight="1">
      <c r="A159" s="2395"/>
      <c r="B159" s="1899"/>
      <c r="C159" s="234">
        <v>2018</v>
      </c>
      <c r="D159" s="217"/>
      <c r="E159" s="178"/>
      <c r="F159" s="218"/>
      <c r="G159" s="213">
        <v>0</v>
      </c>
      <c r="H159" s="217"/>
      <c r="I159" s="178"/>
      <c r="J159" s="179"/>
      <c r="O159" s="165"/>
      <c r="P159" s="165"/>
    </row>
    <row r="160" spans="1:16" ht="15" customHeight="1">
      <c r="A160" s="2395"/>
      <c r="B160" s="1899"/>
      <c r="C160" s="234">
        <v>2019</v>
      </c>
      <c r="D160" s="217"/>
      <c r="E160" s="178"/>
      <c r="F160" s="218"/>
      <c r="G160" s="213">
        <v>0</v>
      </c>
      <c r="H160" s="217"/>
      <c r="I160" s="178"/>
      <c r="J160" s="179"/>
      <c r="O160" s="165"/>
      <c r="P160" s="165"/>
    </row>
    <row r="161" spans="1:18" ht="17.25" customHeight="1">
      <c r="A161" s="2395"/>
      <c r="B161" s="1899"/>
      <c r="C161" s="234">
        <v>2020</v>
      </c>
      <c r="D161" s="217"/>
      <c r="E161" s="178"/>
      <c r="F161" s="218"/>
      <c r="G161" s="213">
        <v>0</v>
      </c>
      <c r="H161" s="217"/>
      <c r="I161" s="178"/>
      <c r="J161" s="179"/>
      <c r="O161" s="165"/>
      <c r="P161" s="165"/>
    </row>
    <row r="162" spans="1:18" ht="15.75" thickBot="1">
      <c r="A162" s="1893"/>
      <c r="B162" s="1900"/>
      <c r="C162" s="235" t="s">
        <v>13</v>
      </c>
      <c r="D162" s="221">
        <v>0</v>
      </c>
      <c r="E162" s="181">
        <v>0</v>
      </c>
      <c r="F162" s="222">
        <v>0</v>
      </c>
      <c r="G162" s="222">
        <v>0</v>
      </c>
      <c r="H162" s="221">
        <v>0</v>
      </c>
      <c r="I162" s="181">
        <v>0</v>
      </c>
      <c r="J162" s="236">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721"/>
    </row>
    <row r="165" spans="1:18" ht="15.75" customHeight="1">
      <c r="A165" s="1878"/>
      <c r="B165" s="1879"/>
      <c r="C165" s="251">
        <v>2014</v>
      </c>
      <c r="D165" s="175"/>
      <c r="E165" s="175"/>
      <c r="F165" s="175"/>
      <c r="G165" s="175"/>
      <c r="H165" s="175"/>
      <c r="I165" s="176"/>
      <c r="J165" s="252">
        <v>0</v>
      </c>
      <c r="K165" s="253">
        <v>0</v>
      </c>
      <c r="L165" s="1721"/>
    </row>
    <row r="166" spans="1:18">
      <c r="A166" s="1880"/>
      <c r="B166" s="1881"/>
      <c r="C166" s="254">
        <v>2015</v>
      </c>
      <c r="D166" s="255"/>
      <c r="E166" s="255"/>
      <c r="F166" s="255"/>
      <c r="G166" s="255"/>
      <c r="H166" s="255"/>
      <c r="I166" s="256"/>
      <c r="J166" s="407">
        <v>0</v>
      </c>
      <c r="K166" s="408">
        <v>0</v>
      </c>
      <c r="L166" s="1721"/>
    </row>
    <row r="167" spans="1:18">
      <c r="A167" s="1880"/>
      <c r="B167" s="1881"/>
      <c r="C167" s="254">
        <v>2016</v>
      </c>
      <c r="D167" s="255"/>
      <c r="E167" s="255"/>
      <c r="F167" s="255"/>
      <c r="G167" s="255"/>
      <c r="H167" s="255"/>
      <c r="I167" s="256"/>
      <c r="J167" s="407">
        <v>0</v>
      </c>
      <c r="K167" s="408">
        <v>0</v>
      </c>
    </row>
    <row r="168" spans="1:18">
      <c r="A168" s="1880"/>
      <c r="B168" s="1881"/>
      <c r="C168" s="254">
        <v>2017</v>
      </c>
      <c r="D168" s="255"/>
      <c r="E168" s="165"/>
      <c r="F168" s="255"/>
      <c r="G168" s="255"/>
      <c r="H168" s="255"/>
      <c r="I168" s="256"/>
      <c r="J168" s="407">
        <v>0</v>
      </c>
      <c r="K168" s="408">
        <v>0</v>
      </c>
    </row>
    <row r="169" spans="1:18">
      <c r="A169" s="1880"/>
      <c r="B169" s="1881"/>
      <c r="C169" s="262">
        <v>2018</v>
      </c>
      <c r="D169" s="255"/>
      <c r="E169" s="255"/>
      <c r="F169" s="255"/>
      <c r="G169" s="263"/>
      <c r="H169" s="255"/>
      <c r="I169" s="256"/>
      <c r="J169" s="407">
        <v>0</v>
      </c>
      <c r="K169" s="408">
        <v>0</v>
      </c>
      <c r="L169" s="1721"/>
    </row>
    <row r="170" spans="1:18">
      <c r="A170" s="1880"/>
      <c r="B170" s="1881"/>
      <c r="C170" s="254">
        <v>2019</v>
      </c>
      <c r="D170" s="165"/>
      <c r="E170" s="255"/>
      <c r="F170" s="255"/>
      <c r="G170" s="255"/>
      <c r="H170" s="263"/>
      <c r="I170" s="256"/>
      <c r="J170" s="407">
        <v>0</v>
      </c>
      <c r="K170" s="408">
        <v>0</v>
      </c>
      <c r="L170" s="1721"/>
    </row>
    <row r="171" spans="1:18">
      <c r="A171" s="1880"/>
      <c r="B171" s="1881"/>
      <c r="C171" s="262">
        <v>2020</v>
      </c>
      <c r="D171" s="255"/>
      <c r="E171" s="255"/>
      <c r="F171" s="255"/>
      <c r="G171" s="255"/>
      <c r="H171" s="255"/>
      <c r="I171" s="256"/>
      <c r="J171" s="407">
        <v>0</v>
      </c>
      <c r="K171" s="408">
        <v>0</v>
      </c>
      <c r="L171" s="1721"/>
    </row>
    <row r="172" spans="1:18" ht="41.25" customHeight="1" thickBot="1">
      <c r="A172" s="1882"/>
      <c r="B172" s="1883"/>
      <c r="C172" s="265" t="s">
        <v>13</v>
      </c>
      <c r="D172" s="181">
        <v>0</v>
      </c>
      <c r="E172" s="181">
        <v>0</v>
      </c>
      <c r="F172" s="181">
        <v>0</v>
      </c>
      <c r="G172" s="181">
        <v>0</v>
      </c>
      <c r="H172" s="181">
        <v>0</v>
      </c>
      <c r="I172" s="409">
        <v>0</v>
      </c>
      <c r="J172" s="410">
        <v>0</v>
      </c>
      <c r="K172" s="221">
        <v>0</v>
      </c>
      <c r="L172" s="172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20"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20" ht="27.75" customHeight="1">
      <c r="A178" s="2639" t="s">
        <v>525</v>
      </c>
      <c r="B178" s="2640"/>
      <c r="C178" s="106">
        <v>2014</v>
      </c>
      <c r="D178" s="30"/>
      <c r="E178" s="31"/>
      <c r="F178" s="31"/>
      <c r="G178" s="284">
        <v>0</v>
      </c>
      <c r="H178" s="155"/>
      <c r="I178" s="155"/>
      <c r="J178" s="31"/>
      <c r="K178" s="31"/>
      <c r="L178" s="31"/>
      <c r="M178" s="31"/>
      <c r="N178" s="31"/>
      <c r="O178" s="34"/>
    </row>
    <row r="179" spans="1:20" ht="30.75" customHeight="1">
      <c r="A179" s="2639"/>
      <c r="B179" s="2640"/>
      <c r="C179" s="110">
        <v>2015</v>
      </c>
      <c r="D179" s="37"/>
      <c r="E179" s="38"/>
      <c r="F179" s="38"/>
      <c r="G179" s="284">
        <v>0</v>
      </c>
      <c r="H179" s="411"/>
      <c r="I179" s="112"/>
      <c r="J179" s="38"/>
      <c r="K179" s="38"/>
      <c r="L179" s="38"/>
      <c r="M179" s="38"/>
      <c r="N179" s="38"/>
      <c r="O179" s="88"/>
    </row>
    <row r="180" spans="1:20" ht="30.75" customHeight="1">
      <c r="A180" s="2639"/>
      <c r="B180" s="2640"/>
      <c r="C180" s="110">
        <v>2016</v>
      </c>
      <c r="D180" s="37">
        <v>7</v>
      </c>
      <c r="E180" s="38"/>
      <c r="F180" s="38">
        <v>1</v>
      </c>
      <c r="G180" s="284">
        <f>SUM(D180:F180)</f>
        <v>8</v>
      </c>
      <c r="H180" s="411">
        <v>9</v>
      </c>
      <c r="I180" s="112">
        <v>8</v>
      </c>
      <c r="J180" s="38"/>
      <c r="K180" s="38"/>
      <c r="L180" s="38"/>
      <c r="M180" s="38"/>
      <c r="N180" s="38"/>
      <c r="O180" s="88"/>
      <c r="T180" s="466"/>
    </row>
    <row r="181" spans="1:20" ht="35.25" customHeight="1">
      <c r="A181" s="2639"/>
      <c r="B181" s="2640"/>
      <c r="C181" s="110">
        <v>2017</v>
      </c>
      <c r="D181" s="37">
        <v>17</v>
      </c>
      <c r="E181" s="38">
        <v>2</v>
      </c>
      <c r="F181" s="38">
        <v>56</v>
      </c>
      <c r="G181" s="284">
        <f>SUM(D181:F181)</f>
        <v>75</v>
      </c>
      <c r="H181" s="411">
        <v>79</v>
      </c>
      <c r="I181" s="112">
        <v>75</v>
      </c>
      <c r="J181" s="38"/>
      <c r="K181" s="38"/>
      <c r="L181" s="38"/>
      <c r="M181" s="38"/>
      <c r="N181" s="38"/>
      <c r="O181" s="88"/>
    </row>
    <row r="182" spans="1:20" ht="34.5" customHeight="1">
      <c r="A182" s="2639"/>
      <c r="B182" s="2640"/>
      <c r="C182" s="110">
        <v>2018</v>
      </c>
      <c r="D182" s="37"/>
      <c r="E182" s="38"/>
      <c r="F182" s="38"/>
      <c r="G182" s="284">
        <v>0</v>
      </c>
      <c r="H182" s="411"/>
      <c r="I182" s="112"/>
      <c r="J182" s="38"/>
      <c r="K182" s="38"/>
      <c r="L182" s="38"/>
      <c r="M182" s="38"/>
      <c r="N182" s="38"/>
      <c r="O182" s="88"/>
    </row>
    <row r="183" spans="1:20" ht="27.75" customHeight="1">
      <c r="A183" s="2639"/>
      <c r="B183" s="2640"/>
      <c r="C183" s="110">
        <v>2019</v>
      </c>
      <c r="D183" s="37"/>
      <c r="E183" s="38"/>
      <c r="F183" s="38"/>
      <c r="G183" s="284">
        <v>0</v>
      </c>
      <c r="H183" s="411"/>
      <c r="I183" s="112"/>
      <c r="J183" s="38"/>
      <c r="K183" s="38"/>
      <c r="L183" s="38"/>
      <c r="M183" s="38"/>
      <c r="N183" s="38"/>
      <c r="O183" s="88"/>
    </row>
    <row r="184" spans="1:20" ht="53.25" customHeight="1">
      <c r="A184" s="2639"/>
      <c r="B184" s="2640"/>
      <c r="C184" s="110">
        <v>2020</v>
      </c>
      <c r="D184" s="37"/>
      <c r="E184" s="38"/>
      <c r="F184" s="38"/>
      <c r="G184" s="284">
        <v>0</v>
      </c>
      <c r="H184" s="411"/>
      <c r="I184" s="112"/>
      <c r="J184" s="38"/>
      <c r="K184" s="38"/>
      <c r="L184" s="38"/>
      <c r="M184" s="38"/>
      <c r="N184" s="38"/>
      <c r="O184" s="88"/>
    </row>
    <row r="185" spans="1:20" ht="409.5" customHeight="1" thickBot="1">
      <c r="A185" s="2641"/>
      <c r="B185" s="2642"/>
      <c r="C185" s="113" t="s">
        <v>13</v>
      </c>
      <c r="D185" s="139">
        <f>SUM(D179:D184)</f>
        <v>24</v>
      </c>
      <c r="E185" s="139">
        <f t="shared" ref="E185:O185" si="3">SUM(E179:E184)</f>
        <v>2</v>
      </c>
      <c r="F185" s="139">
        <f t="shared" si="3"/>
        <v>57</v>
      </c>
      <c r="G185" s="139">
        <f t="shared" si="3"/>
        <v>83</v>
      </c>
      <c r="H185" s="139">
        <f t="shared" si="3"/>
        <v>88</v>
      </c>
      <c r="I185" s="139">
        <f t="shared" si="3"/>
        <v>83</v>
      </c>
      <c r="J185" s="139">
        <f t="shared" si="3"/>
        <v>0</v>
      </c>
      <c r="K185" s="139">
        <f t="shared" si="3"/>
        <v>0</v>
      </c>
      <c r="L185" s="139">
        <f t="shared" si="3"/>
        <v>0</v>
      </c>
      <c r="M185" s="139">
        <f t="shared" si="3"/>
        <v>0</v>
      </c>
      <c r="N185" s="139">
        <f t="shared" si="3"/>
        <v>0</v>
      </c>
      <c r="O185" s="139">
        <f t="shared" si="3"/>
        <v>0</v>
      </c>
    </row>
    <row r="186" spans="1:20" ht="33" customHeight="1" thickBot="1"/>
    <row r="187" spans="1:20" ht="19.5" customHeight="1">
      <c r="A187" s="1861" t="s">
        <v>137</v>
      </c>
      <c r="B187" s="2037" t="s">
        <v>182</v>
      </c>
      <c r="C187" s="1865" t="s">
        <v>9</v>
      </c>
      <c r="D187" s="1867" t="s">
        <v>138</v>
      </c>
      <c r="E187" s="2038"/>
      <c r="F187" s="2038"/>
      <c r="G187" s="1869"/>
      <c r="H187" s="1870" t="s">
        <v>139</v>
      </c>
      <c r="I187" s="1865"/>
      <c r="J187" s="1865"/>
      <c r="K187" s="1865"/>
      <c r="L187" s="1871"/>
    </row>
    <row r="188" spans="1:20" ht="90" customHeight="1">
      <c r="A188" s="1862"/>
      <c r="B188" s="1864"/>
      <c r="C188" s="1866"/>
      <c r="D188" s="286" t="s">
        <v>140</v>
      </c>
      <c r="E188" s="286" t="s">
        <v>141</v>
      </c>
      <c r="F188" s="286" t="s">
        <v>142</v>
      </c>
      <c r="G188" s="287" t="s">
        <v>13</v>
      </c>
      <c r="H188" s="288" t="s">
        <v>143</v>
      </c>
      <c r="I188" s="286" t="s">
        <v>144</v>
      </c>
      <c r="J188" s="286" t="s">
        <v>145</v>
      </c>
      <c r="K188" s="286" t="s">
        <v>146</v>
      </c>
      <c r="L188" s="289" t="s">
        <v>147</v>
      </c>
    </row>
    <row r="189" spans="1:20" ht="15" customHeight="1">
      <c r="A189" s="1976" t="s">
        <v>526</v>
      </c>
      <c r="B189" s="1977"/>
      <c r="C189" s="290">
        <v>2014</v>
      </c>
      <c r="D189" s="133"/>
      <c r="E189" s="109"/>
      <c r="F189" s="109"/>
      <c r="G189" s="291">
        <v>0</v>
      </c>
      <c r="H189" s="108"/>
      <c r="I189" s="109"/>
      <c r="J189" s="109"/>
      <c r="K189" s="109"/>
      <c r="L189" s="134"/>
    </row>
    <row r="190" spans="1:20">
      <c r="A190" s="2502"/>
      <c r="B190" s="1855"/>
      <c r="C190" s="73">
        <v>2015</v>
      </c>
      <c r="D190" s="37"/>
      <c r="E190" s="38"/>
      <c r="F190" s="38"/>
      <c r="G190" s="291">
        <v>0</v>
      </c>
      <c r="H190" s="112"/>
      <c r="I190" s="38"/>
      <c r="J190" s="38"/>
      <c r="K190" s="38"/>
      <c r="L190" s="88"/>
    </row>
    <row r="191" spans="1:20">
      <c r="A191" s="2502"/>
      <c r="B191" s="1855"/>
      <c r="C191" s="73">
        <v>2016</v>
      </c>
      <c r="D191" s="37">
        <v>80</v>
      </c>
      <c r="E191" s="38"/>
      <c r="F191" s="38">
        <v>155</v>
      </c>
      <c r="G191" s="291">
        <v>235</v>
      </c>
      <c r="H191" s="112"/>
      <c r="I191" s="38">
        <v>4</v>
      </c>
      <c r="J191" s="38">
        <v>60</v>
      </c>
      <c r="K191" s="38">
        <v>32</v>
      </c>
      <c r="L191" s="88">
        <v>139</v>
      </c>
    </row>
    <row r="192" spans="1:20">
      <c r="A192" s="2502"/>
      <c r="B192" s="1855"/>
      <c r="C192" s="73">
        <v>2017</v>
      </c>
      <c r="D192" s="37">
        <v>443</v>
      </c>
      <c r="E192" s="38">
        <v>75</v>
      </c>
      <c r="F192" s="38">
        <v>212</v>
      </c>
      <c r="G192" s="291">
        <f>SUM(D192:F192)</f>
        <v>730</v>
      </c>
      <c r="H192" s="112"/>
      <c r="I192" s="38">
        <v>28</v>
      </c>
      <c r="J192" s="38">
        <v>290</v>
      </c>
      <c r="K192" s="38">
        <v>200</v>
      </c>
      <c r="L192" s="88">
        <v>212</v>
      </c>
    </row>
    <row r="193" spans="1:14">
      <c r="A193" s="2502"/>
      <c r="B193" s="1855"/>
      <c r="C193" s="73">
        <v>2018</v>
      </c>
      <c r="D193" s="37"/>
      <c r="E193" s="38"/>
      <c r="F193" s="38"/>
      <c r="G193" s="291">
        <v>0</v>
      </c>
      <c r="H193" s="112"/>
      <c r="I193" s="38"/>
      <c r="J193" s="38"/>
      <c r="K193" s="38"/>
      <c r="L193" s="88"/>
    </row>
    <row r="194" spans="1:14">
      <c r="A194" s="2502"/>
      <c r="B194" s="1855"/>
      <c r="C194" s="73">
        <v>2019</v>
      </c>
      <c r="D194" s="37"/>
      <c r="E194" s="38"/>
      <c r="F194" s="38"/>
      <c r="G194" s="291">
        <v>0</v>
      </c>
      <c r="H194" s="112"/>
      <c r="I194" s="38"/>
      <c r="J194" s="38"/>
      <c r="K194" s="38"/>
      <c r="L194" s="88"/>
    </row>
    <row r="195" spans="1:14">
      <c r="A195" s="2502"/>
      <c r="B195" s="1855"/>
      <c r="C195" s="73">
        <v>2020</v>
      </c>
      <c r="D195" s="37"/>
      <c r="E195" s="38"/>
      <c r="F195" s="38"/>
      <c r="G195" s="291">
        <v>0</v>
      </c>
      <c r="H195" s="112"/>
      <c r="I195" s="38"/>
      <c r="J195" s="38"/>
      <c r="K195" s="38"/>
      <c r="L195" s="88"/>
    </row>
    <row r="196" spans="1:14" ht="365.25" customHeight="1" thickBot="1">
      <c r="A196" s="1979"/>
      <c r="B196" s="1857"/>
      <c r="C196" s="136" t="s">
        <v>13</v>
      </c>
      <c r="D196" s="139">
        <f>SUM(D190:D195)</f>
        <v>523</v>
      </c>
      <c r="E196" s="139">
        <f t="shared" ref="E196:L196" si="4">SUM(E190:E195)</f>
        <v>75</v>
      </c>
      <c r="F196" s="139">
        <f t="shared" si="4"/>
        <v>367</v>
      </c>
      <c r="G196" s="139">
        <f t="shared" si="4"/>
        <v>965</v>
      </c>
      <c r="H196" s="139">
        <f t="shared" si="4"/>
        <v>0</v>
      </c>
      <c r="I196" s="139">
        <f t="shared" si="4"/>
        <v>32</v>
      </c>
      <c r="J196" s="139">
        <f t="shared" si="4"/>
        <v>350</v>
      </c>
      <c r="K196" s="139">
        <f t="shared" si="4"/>
        <v>232</v>
      </c>
      <c r="L196" s="139">
        <f t="shared" si="4"/>
        <v>351</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2378"/>
      <c r="B202" s="1855"/>
      <c r="C202" s="72">
        <v>2014</v>
      </c>
      <c r="D202" s="30"/>
      <c r="E202" s="31"/>
      <c r="F202" s="31"/>
      <c r="G202" s="29"/>
      <c r="H202" s="305"/>
      <c r="I202" s="306"/>
      <c r="J202" s="307"/>
      <c r="K202" s="31"/>
      <c r="L202" s="34"/>
    </row>
    <row r="203" spans="1:14">
      <c r="A203" s="2378"/>
      <c r="B203" s="1855"/>
      <c r="C203" s="73">
        <v>2015</v>
      </c>
      <c r="D203" s="37"/>
      <c r="E203" s="38"/>
      <c r="F203" s="38"/>
      <c r="G203" s="36"/>
      <c r="H203" s="308"/>
      <c r="I203" s="309"/>
      <c r="J203" s="310"/>
      <c r="K203" s="38"/>
      <c r="L203" s="88"/>
    </row>
    <row r="204" spans="1:14">
      <c r="A204" s="2378"/>
      <c r="B204" s="1855"/>
      <c r="C204" s="73">
        <v>2016</v>
      </c>
      <c r="D204" s="37"/>
      <c r="E204" s="38"/>
      <c r="F204" s="38"/>
      <c r="G204" s="36"/>
      <c r="H204" s="308"/>
      <c r="I204" s="309"/>
      <c r="J204" s="310"/>
      <c r="K204" s="38"/>
      <c r="L204" s="88"/>
    </row>
    <row r="205" spans="1:14">
      <c r="A205" s="2378"/>
      <c r="B205" s="1855"/>
      <c r="C205" s="73">
        <v>2017</v>
      </c>
      <c r="D205" s="37"/>
      <c r="E205" s="38"/>
      <c r="F205" s="38"/>
      <c r="G205" s="36"/>
      <c r="H205" s="308"/>
      <c r="I205" s="309"/>
      <c r="J205" s="310"/>
      <c r="K205" s="38"/>
      <c r="L205" s="88"/>
    </row>
    <row r="206" spans="1:14">
      <c r="A206" s="2378"/>
      <c r="B206" s="1855"/>
      <c r="C206" s="73">
        <v>2018</v>
      </c>
      <c r="D206" s="37"/>
      <c r="E206" s="38"/>
      <c r="F206" s="38"/>
      <c r="G206" s="36"/>
      <c r="H206" s="308"/>
      <c r="I206" s="309"/>
      <c r="J206" s="310"/>
      <c r="K206" s="38"/>
      <c r="L206" s="88"/>
    </row>
    <row r="207" spans="1:14">
      <c r="A207" s="2378"/>
      <c r="B207" s="1855"/>
      <c r="C207" s="73">
        <v>2019</v>
      </c>
      <c r="D207" s="37"/>
      <c r="E207" s="38"/>
      <c r="F207" s="38"/>
      <c r="G207" s="36"/>
      <c r="H207" s="308"/>
      <c r="I207" s="309"/>
      <c r="J207" s="310"/>
      <c r="K207" s="38"/>
      <c r="L207" s="88"/>
    </row>
    <row r="208" spans="1:14">
      <c r="A208" s="2378"/>
      <c r="B208" s="1855"/>
      <c r="C208" s="73">
        <v>2020</v>
      </c>
      <c r="D208" s="1533"/>
      <c r="E208" s="312"/>
      <c r="F208" s="312"/>
      <c r="G208" s="313"/>
      <c r="H208" s="314"/>
      <c r="I208" s="315"/>
      <c r="J208" s="316"/>
      <c r="K208" s="312"/>
      <c r="L208" s="317"/>
    </row>
    <row r="209" spans="1:14" ht="20.25" customHeight="1" thickBot="1">
      <c r="A209" s="1856"/>
      <c r="B209" s="1857"/>
      <c r="C209" s="136" t="s">
        <v>13</v>
      </c>
      <c r="D209" s="139">
        <v>0</v>
      </c>
      <c r="E209" s="139">
        <v>0</v>
      </c>
      <c r="F209" s="139">
        <v>0</v>
      </c>
      <c r="G209" s="139">
        <v>0</v>
      </c>
      <c r="H209" s="139">
        <v>0</v>
      </c>
      <c r="I209" s="139">
        <v>0</v>
      </c>
      <c r="J209" s="139">
        <v>0</v>
      </c>
      <c r="K209" s="139">
        <v>0</v>
      </c>
      <c r="L209" s="139">
        <v>0</v>
      </c>
    </row>
    <row r="211" spans="1:14" ht="15.75" thickBot="1"/>
    <row r="212" spans="1:14" ht="29.25">
      <c r="A212" s="571" t="s">
        <v>161</v>
      </c>
      <c r="B212" s="322" t="s">
        <v>162</v>
      </c>
      <c r="C212" s="323">
        <v>2014</v>
      </c>
      <c r="D212" s="324">
        <v>2015</v>
      </c>
      <c r="E212" s="324">
        <v>2016</v>
      </c>
      <c r="F212" s="324">
        <v>2017</v>
      </c>
      <c r="G212" s="324">
        <v>2018</v>
      </c>
      <c r="H212" s="324">
        <v>2019</v>
      </c>
      <c r="I212" s="325">
        <v>2020</v>
      </c>
    </row>
    <row r="213" spans="1:14" ht="15" customHeight="1">
      <c r="A213" t="s">
        <v>163</v>
      </c>
      <c r="B213" s="2184" t="s">
        <v>527</v>
      </c>
      <c r="C213" s="72"/>
      <c r="D213" s="328">
        <f>SUM(D214)</f>
        <v>8832.56</v>
      </c>
      <c r="E213" s="328">
        <f>E214+E215+E217</f>
        <v>53687.01</v>
      </c>
      <c r="F213" s="328">
        <v>56827.73</v>
      </c>
      <c r="G213" s="135"/>
      <c r="H213" s="135"/>
      <c r="I213" s="326"/>
      <c r="J213" s="327">
        <f>SUM(D213:I213)</f>
        <v>119347.3</v>
      </c>
      <c r="K213">
        <v>117809.4</v>
      </c>
      <c r="L213" s="327">
        <f>SUM(J213-K213)</f>
        <v>1537.9000000000087</v>
      </c>
    </row>
    <row r="214" spans="1:14">
      <c r="A214" t="s">
        <v>164</v>
      </c>
      <c r="B214" s="2637"/>
      <c r="C214" s="72"/>
      <c r="D214" s="328">
        <v>8832.56</v>
      </c>
      <c r="E214" s="328">
        <v>1474.38</v>
      </c>
      <c r="F214" s="135">
        <v>0</v>
      </c>
      <c r="G214" s="135"/>
      <c r="H214" s="135"/>
      <c r="I214" s="326"/>
    </row>
    <row r="215" spans="1:14">
      <c r="A215" t="s">
        <v>165</v>
      </c>
      <c r="B215" s="2637"/>
      <c r="C215" s="72"/>
      <c r="D215" s="135">
        <v>0</v>
      </c>
      <c r="E215" s="135">
        <v>843.95</v>
      </c>
      <c r="F215" s="135">
        <v>0</v>
      </c>
      <c r="G215" s="135"/>
      <c r="H215" s="135"/>
      <c r="I215" s="326"/>
    </row>
    <row r="216" spans="1:14">
      <c r="A216" t="s">
        <v>166</v>
      </c>
      <c r="B216" s="2637"/>
      <c r="C216" s="72"/>
      <c r="D216" s="135">
        <v>0</v>
      </c>
      <c r="E216" s="135">
        <v>0</v>
      </c>
      <c r="F216" s="135">
        <v>0</v>
      </c>
      <c r="G216" s="135"/>
      <c r="H216" s="135"/>
      <c r="I216" s="326"/>
      <c r="N216">
        <v>53687.01</v>
      </c>
    </row>
    <row r="217" spans="1:14">
      <c r="A217" t="s">
        <v>167</v>
      </c>
      <c r="B217" s="2637"/>
      <c r="C217" s="72"/>
      <c r="D217" s="135">
        <v>0</v>
      </c>
      <c r="E217" s="328">
        <v>51368.68</v>
      </c>
      <c r="F217" s="328">
        <v>56827.14</v>
      </c>
      <c r="G217" s="135"/>
      <c r="H217" s="135"/>
      <c r="I217" s="326"/>
    </row>
    <row r="218" spans="1:14" ht="30">
      <c r="A218" s="56" t="s">
        <v>168</v>
      </c>
      <c r="B218" s="2637"/>
      <c r="C218" s="72"/>
      <c r="D218" s="328">
        <v>100043.61</v>
      </c>
      <c r="E218" s="328">
        <v>107791.25</v>
      </c>
      <c r="F218" s="328">
        <v>96449.71</v>
      </c>
      <c r="G218" s="135"/>
      <c r="H218" s="135"/>
      <c r="I218" s="326"/>
    </row>
    <row r="219" spans="1:14" ht="311.25" customHeight="1" thickBot="1">
      <c r="A219" s="1527" t="s">
        <v>528</v>
      </c>
      <c r="B219" s="2638"/>
      <c r="C219" s="42" t="s">
        <v>13</v>
      </c>
      <c r="D219" s="332">
        <f>SUM(D214:D218)</f>
        <v>108876.17</v>
      </c>
      <c r="E219" s="333">
        <v>161478.26</v>
      </c>
      <c r="F219" s="332">
        <f>F213+F218</f>
        <v>153277.44</v>
      </c>
      <c r="G219" s="332">
        <f t="shared" ref="G219:I219" si="5">G213+G218</f>
        <v>0</v>
      </c>
      <c r="H219" s="332">
        <f t="shared" si="5"/>
        <v>0</v>
      </c>
      <c r="I219" s="332">
        <f t="shared" si="5"/>
        <v>0</v>
      </c>
    </row>
    <row r="220" spans="1:14">
      <c r="E220">
        <f>62241.05-60703.15</f>
        <v>1537.9000000000015</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22" workbookViewId="0">
      <selection activeCell="I231" sqref="I23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529</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661"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530</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7</v>
      </c>
      <c r="E18" s="38">
        <v>1</v>
      </c>
      <c r="F18" s="38"/>
      <c r="G18" s="32">
        <f>SUM(D18:F18)</f>
        <v>8</v>
      </c>
      <c r="H18" s="39">
        <v>8</v>
      </c>
      <c r="I18" s="38"/>
      <c r="J18" s="38"/>
      <c r="K18" s="38"/>
      <c r="L18" s="38"/>
      <c r="M18" s="38"/>
      <c r="N18" s="38"/>
      <c r="O18" s="40"/>
      <c r="P18" s="35"/>
      <c r="Q18" s="35"/>
      <c r="R18" s="35"/>
      <c r="S18" s="35"/>
      <c r="T18" s="35"/>
      <c r="U18" s="35"/>
      <c r="V18" s="35"/>
      <c r="W18" s="35"/>
      <c r="X18" s="35"/>
      <c r="Y18" s="35"/>
    </row>
    <row r="19" spans="1:25">
      <c r="A19" s="1854"/>
      <c r="B19" s="1855"/>
      <c r="C19" s="36">
        <v>2016</v>
      </c>
      <c r="D19" s="37">
        <v>15</v>
      </c>
      <c r="E19" s="38">
        <v>1</v>
      </c>
      <c r="F19" s="38"/>
      <c r="G19" s="32">
        <f t="shared" si="0"/>
        <v>16</v>
      </c>
      <c r="H19" s="39">
        <v>16</v>
      </c>
      <c r="I19" s="38"/>
      <c r="J19" s="38"/>
      <c r="K19" s="38"/>
      <c r="L19" s="38"/>
      <c r="M19" s="38"/>
      <c r="N19" s="38"/>
      <c r="O19" s="40"/>
      <c r="P19" s="35"/>
      <c r="Q19" s="35"/>
      <c r="R19" s="35"/>
      <c r="S19" s="35"/>
      <c r="T19" s="35"/>
      <c r="U19" s="35"/>
      <c r="V19" s="35"/>
      <c r="W19" s="35"/>
      <c r="X19" s="35"/>
      <c r="Y19" s="35"/>
    </row>
    <row r="20" spans="1:25">
      <c r="A20" s="1854"/>
      <c r="B20" s="1855"/>
      <c r="C20" s="36">
        <v>2017</v>
      </c>
      <c r="D20" s="37">
        <v>11</v>
      </c>
      <c r="E20" s="38">
        <v>1</v>
      </c>
      <c r="F20" s="38"/>
      <c r="G20" s="32">
        <f t="shared" si="0"/>
        <v>12</v>
      </c>
      <c r="H20" s="39">
        <v>12</v>
      </c>
      <c r="I20" s="38"/>
      <c r="J20" s="38"/>
      <c r="K20" s="38"/>
      <c r="L20" s="38"/>
      <c r="M20" s="38"/>
      <c r="N20" s="38"/>
      <c r="O20" s="40"/>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48.6" customHeight="1" thickBot="1">
      <c r="A24" s="1856"/>
      <c r="B24" s="1857"/>
      <c r="C24" s="42" t="s">
        <v>13</v>
      </c>
      <c r="D24" s="43">
        <f>SUM(D17:D23)</f>
        <v>33</v>
      </c>
      <c r="E24" s="44">
        <f>SUM(E17:E23)</f>
        <v>3</v>
      </c>
      <c r="F24" s="44">
        <f>SUM(F17:F23)</f>
        <v>0</v>
      </c>
      <c r="G24" s="45">
        <f>SUM(D24:F24)</f>
        <v>36</v>
      </c>
      <c r="H24" s="46">
        <f>SUM(H17:H23)</f>
        <v>36</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531</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357</v>
      </c>
      <c r="E29" s="1722">
        <v>80000</v>
      </c>
      <c r="F29" s="38"/>
      <c r="G29" s="58">
        <f t="shared" ref="G29:G35" si="2">SUM(D29:F29)</f>
        <v>80357</v>
      </c>
      <c r="H29" s="35"/>
      <c r="I29" s="35"/>
      <c r="J29" s="35"/>
      <c r="K29" s="35"/>
      <c r="L29" s="35"/>
      <c r="M29" s="35"/>
      <c r="N29" s="35"/>
      <c r="O29" s="35"/>
      <c r="P29" s="35"/>
      <c r="Q29" s="7"/>
    </row>
    <row r="30" spans="1:25">
      <c r="A30" s="1854"/>
      <c r="B30" s="1855"/>
      <c r="C30" s="59">
        <v>2016</v>
      </c>
      <c r="D30" s="39">
        <v>2375</v>
      </c>
      <c r="E30" s="1722">
        <v>80000</v>
      </c>
      <c r="F30" s="38"/>
      <c r="G30" s="58">
        <f t="shared" si="2"/>
        <v>82375</v>
      </c>
      <c r="H30" s="35"/>
      <c r="I30" s="35"/>
      <c r="J30" s="35"/>
      <c r="K30" s="35"/>
      <c r="L30" s="35"/>
      <c r="M30" s="35"/>
      <c r="N30" s="35"/>
      <c r="O30" s="35"/>
      <c r="P30" s="35"/>
      <c r="Q30" s="7"/>
    </row>
    <row r="31" spans="1:25">
      <c r="A31" s="1854"/>
      <c r="B31" s="1855"/>
      <c r="C31" s="59">
        <v>2017</v>
      </c>
      <c r="D31" s="39">
        <v>10807</v>
      </c>
      <c r="E31" s="1722">
        <v>80000</v>
      </c>
      <c r="F31" s="38"/>
      <c r="G31" s="58">
        <f t="shared" si="2"/>
        <v>90807</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13539</v>
      </c>
      <c r="E35" s="44">
        <f>SUM(E28:E34)</f>
        <v>240000</v>
      </c>
      <c r="F35" s="44">
        <f>SUM(F28:F34)</f>
        <v>0</v>
      </c>
      <c r="G35" s="48">
        <f t="shared" si="2"/>
        <v>253539</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c r="E41" s="36"/>
      <c r="F41" s="7"/>
      <c r="G41" s="35"/>
      <c r="H41" s="35"/>
    </row>
    <row r="42" spans="1:17">
      <c r="A42" s="1854"/>
      <c r="B42" s="1855"/>
      <c r="C42" s="73">
        <v>2016</v>
      </c>
      <c r="D42" s="37">
        <v>1018</v>
      </c>
      <c r="E42" s="36">
        <v>67</v>
      </c>
      <c r="F42" s="7"/>
      <c r="G42" s="35"/>
      <c r="H42" s="35"/>
    </row>
    <row r="43" spans="1:17">
      <c r="A43" s="1854"/>
      <c r="B43" s="1855"/>
      <c r="C43" s="73">
        <v>2017</v>
      </c>
      <c r="D43" s="37">
        <v>3308</v>
      </c>
      <c r="E43" s="36">
        <v>474</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4326</v>
      </c>
      <c r="E47" s="455">
        <f>SUM(E40:E46)</f>
        <v>541</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v>1</v>
      </c>
      <c r="E54" s="38"/>
      <c r="F54" s="38"/>
      <c r="G54" s="38">
        <v>24</v>
      </c>
      <c r="H54" s="38"/>
      <c r="I54" s="38"/>
      <c r="J54" s="38">
        <v>3</v>
      </c>
      <c r="K54" s="88">
        <v>11</v>
      </c>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1</v>
      </c>
      <c r="E58" s="44">
        <f>SUM(E51:E57)</f>
        <v>0</v>
      </c>
      <c r="F58" s="44">
        <f>SUM(F51:F57)</f>
        <v>0</v>
      </c>
      <c r="G58" s="44">
        <f>SUM(G51:G57)</f>
        <v>24</v>
      </c>
      <c r="H58" s="44">
        <f>SUM(H51:H57)</f>
        <v>0</v>
      </c>
      <c r="I58" s="44">
        <f t="shared" ref="I58" si="3">SUM(I51:I57)</f>
        <v>0</v>
      </c>
      <c r="J58" s="44">
        <f>SUM(J51:J57)</f>
        <v>3</v>
      </c>
      <c r="K58" s="48">
        <f>SUM(K50:K56)</f>
        <v>11</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2616"/>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532</v>
      </c>
      <c r="B62" s="1899"/>
      <c r="C62" s="106">
        <v>2014</v>
      </c>
      <c r="D62" s="107"/>
      <c r="E62" s="108"/>
      <c r="F62" s="109"/>
      <c r="G62" s="109"/>
      <c r="H62" s="109"/>
      <c r="I62" s="109"/>
      <c r="J62" s="109"/>
      <c r="K62" s="109"/>
      <c r="L62" s="34"/>
      <c r="M62" s="7"/>
      <c r="N62" s="7"/>
      <c r="O62" s="7"/>
    </row>
    <row r="63" spans="1:15">
      <c r="A63" s="1891"/>
      <c r="B63" s="1899"/>
      <c r="C63" s="110">
        <v>2015</v>
      </c>
      <c r="D63" s="111">
        <v>2</v>
      </c>
      <c r="E63" s="112">
        <v>2</v>
      </c>
      <c r="F63" s="38"/>
      <c r="G63" s="38"/>
      <c r="H63" s="38"/>
      <c r="I63" s="38"/>
      <c r="J63" s="38"/>
      <c r="K63" s="38"/>
      <c r="L63" s="88"/>
      <c r="M63" s="7"/>
      <c r="N63" s="7"/>
      <c r="O63" s="7"/>
    </row>
    <row r="64" spans="1:15">
      <c r="A64" s="1891"/>
      <c r="B64" s="1899"/>
      <c r="C64" s="110">
        <v>2016</v>
      </c>
      <c r="D64" s="111"/>
      <c r="E64" s="112"/>
      <c r="F64" s="38"/>
      <c r="G64" s="38"/>
      <c r="H64" s="38"/>
      <c r="I64" s="38"/>
      <c r="J64" s="38"/>
      <c r="K64" s="38"/>
      <c r="L64" s="88"/>
      <c r="M64" s="7"/>
      <c r="N64" s="7"/>
      <c r="O64" s="7"/>
    </row>
    <row r="65" spans="1:20">
      <c r="A65" s="1891"/>
      <c r="B65" s="1899"/>
      <c r="C65" s="110">
        <v>2017</v>
      </c>
      <c r="D65" s="111"/>
      <c r="E65" s="112"/>
      <c r="F65" s="38"/>
      <c r="G65" s="38"/>
      <c r="H65" s="38"/>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2</v>
      </c>
      <c r="E69" s="115">
        <f>SUM(E62:E68)</f>
        <v>2</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t="s">
        <v>533</v>
      </c>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c r="F74" s="135">
        <v>12</v>
      </c>
      <c r="G74" s="132">
        <f t="shared" si="5"/>
        <v>12</v>
      </c>
      <c r="H74" s="37">
        <v>12</v>
      </c>
      <c r="I74" s="37"/>
      <c r="J74" s="38"/>
      <c r="K74" s="38"/>
      <c r="L74" s="38"/>
      <c r="M74" s="38"/>
      <c r="N74" s="38"/>
      <c r="O74" s="88"/>
    </row>
    <row r="75" spans="1:20">
      <c r="A75" s="1854"/>
      <c r="B75" s="1899"/>
      <c r="C75" s="73">
        <v>2017</v>
      </c>
      <c r="D75" s="135"/>
      <c r="E75" s="135"/>
      <c r="F75" s="135">
        <v>58</v>
      </c>
      <c r="G75" s="132">
        <f t="shared" si="5"/>
        <v>58</v>
      </c>
      <c r="H75" s="37">
        <v>58</v>
      </c>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70</v>
      </c>
      <c r="G79" s="137">
        <f>SUM(G72:G78)</f>
        <v>70</v>
      </c>
      <c r="H79" s="138">
        <v>43</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2604"/>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c r="E99" s="38"/>
      <c r="F99" s="177"/>
      <c r="G99" s="178"/>
      <c r="H99" s="178"/>
      <c r="I99" s="178"/>
      <c r="J99" s="178"/>
      <c r="K99" s="178"/>
      <c r="L99" s="178"/>
      <c r="M99" s="179"/>
      <c r="N99" s="165"/>
      <c r="O99" s="165"/>
      <c r="P99" s="165"/>
    </row>
    <row r="100" spans="1:16" ht="16.5" customHeight="1">
      <c r="A100" s="1891"/>
      <c r="B100" s="1899"/>
      <c r="C100" s="110">
        <v>2016</v>
      </c>
      <c r="D100" s="37"/>
      <c r="E100" s="38"/>
      <c r="F100" s="177"/>
      <c r="G100" s="178"/>
      <c r="H100" s="178"/>
      <c r="I100" s="178"/>
      <c r="J100" s="178"/>
      <c r="K100" s="178"/>
      <c r="L100" s="178"/>
      <c r="M100" s="179"/>
      <c r="N100" s="165"/>
      <c r="O100" s="165"/>
      <c r="P100" s="165"/>
    </row>
    <row r="101" spans="1:16" ht="16.5" customHeight="1">
      <c r="A101" s="1891"/>
      <c r="B101" s="1899"/>
      <c r="C101" s="110">
        <v>2017</v>
      </c>
      <c r="D101" s="37"/>
      <c r="E101" s="38"/>
      <c r="F101" s="177"/>
      <c r="G101" s="178"/>
      <c r="H101" s="178"/>
      <c r="I101" s="178"/>
      <c r="J101" s="178"/>
      <c r="K101" s="178"/>
      <c r="L101" s="178"/>
      <c r="M101" s="179"/>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2604"/>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t="s">
        <v>534</v>
      </c>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v>6</v>
      </c>
      <c r="E111" s="177">
        <v>6</v>
      </c>
      <c r="F111" s="178"/>
      <c r="G111" s="178"/>
      <c r="H111" s="178"/>
      <c r="I111" s="178"/>
      <c r="J111" s="178"/>
      <c r="K111" s="178"/>
      <c r="L111" s="179"/>
      <c r="M111" s="185"/>
      <c r="N111" s="185"/>
    </row>
    <row r="112" spans="1:16">
      <c r="A112" s="1891"/>
      <c r="B112" s="1899"/>
      <c r="C112" s="110">
        <v>2017</v>
      </c>
      <c r="D112" s="38">
        <v>11</v>
      </c>
      <c r="E112" s="177">
        <v>11</v>
      </c>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17</v>
      </c>
      <c r="E116" s="180">
        <f t="shared" si="9"/>
        <v>17</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2604"/>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2604"/>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2606"/>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1683">
        <f>SUM(D165,F165,H165)</f>
        <v>0</v>
      </c>
      <c r="K165" s="253">
        <f>SUM(E165,G165,I165)</f>
        <v>0</v>
      </c>
      <c r="L165" s="1531"/>
    </row>
    <row r="166" spans="1:18">
      <c r="A166" s="1880"/>
      <c r="B166" s="1881"/>
      <c r="C166" s="254">
        <v>2015</v>
      </c>
      <c r="D166" s="255"/>
      <c r="E166" s="255"/>
      <c r="F166" s="255"/>
      <c r="G166" s="255"/>
      <c r="H166" s="255"/>
      <c r="I166" s="256"/>
      <c r="J166" s="1684">
        <f t="shared" ref="J166:K171" si="17">SUM(D166,F166,H166)</f>
        <v>0</v>
      </c>
      <c r="K166" s="408">
        <f t="shared" si="17"/>
        <v>0</v>
      </c>
      <c r="L166" s="1531"/>
    </row>
    <row r="167" spans="1:18">
      <c r="A167" s="1880"/>
      <c r="B167" s="1881"/>
      <c r="C167" s="254">
        <v>2016</v>
      </c>
      <c r="D167" s="255"/>
      <c r="E167" s="255"/>
      <c r="F167" s="255"/>
      <c r="G167" s="255"/>
      <c r="H167" s="255"/>
      <c r="I167" s="256"/>
      <c r="J167" s="1684">
        <f t="shared" si="17"/>
        <v>0</v>
      </c>
      <c r="K167" s="408">
        <f t="shared" si="17"/>
        <v>0</v>
      </c>
    </row>
    <row r="168" spans="1:18">
      <c r="A168" s="1880"/>
      <c r="B168" s="1881"/>
      <c r="C168" s="254">
        <v>2017</v>
      </c>
      <c r="D168" s="255"/>
      <c r="E168" s="165"/>
      <c r="F168" s="255"/>
      <c r="G168" s="255"/>
      <c r="H168" s="255"/>
      <c r="I168" s="256"/>
      <c r="J168" s="1684">
        <f t="shared" si="17"/>
        <v>0</v>
      </c>
      <c r="K168" s="408">
        <f t="shared" si="17"/>
        <v>0</v>
      </c>
    </row>
    <row r="169" spans="1:18">
      <c r="A169" s="1880"/>
      <c r="B169" s="1881"/>
      <c r="C169" s="262">
        <v>2018</v>
      </c>
      <c r="D169" s="255"/>
      <c r="E169" s="255"/>
      <c r="F169" s="255"/>
      <c r="G169" s="263"/>
      <c r="H169" s="255"/>
      <c r="I169" s="256"/>
      <c r="J169" s="1684">
        <f t="shared" si="17"/>
        <v>0</v>
      </c>
      <c r="K169" s="408">
        <f t="shared" si="17"/>
        <v>0</v>
      </c>
      <c r="L169" s="1531"/>
    </row>
    <row r="170" spans="1:18">
      <c r="A170" s="1880"/>
      <c r="B170" s="1881"/>
      <c r="C170" s="254">
        <v>2019</v>
      </c>
      <c r="D170" s="165"/>
      <c r="E170" s="255"/>
      <c r="F170" s="255"/>
      <c r="G170" s="255"/>
      <c r="H170" s="263"/>
      <c r="I170" s="256"/>
      <c r="J170" s="1684">
        <f t="shared" si="17"/>
        <v>0</v>
      </c>
      <c r="K170" s="408">
        <f t="shared" si="17"/>
        <v>0</v>
      </c>
      <c r="L170" s="1531"/>
    </row>
    <row r="171" spans="1:18">
      <c r="A171" s="1880"/>
      <c r="B171" s="1881"/>
      <c r="C171" s="262">
        <v>2020</v>
      </c>
      <c r="D171" s="255"/>
      <c r="E171" s="255"/>
      <c r="F171" s="255"/>
      <c r="G171" s="255"/>
      <c r="H171" s="255"/>
      <c r="I171" s="256"/>
      <c r="J171" s="1684">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535</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7</v>
      </c>
      <c r="E179" s="38"/>
      <c r="F179" s="38"/>
      <c r="G179" s="284">
        <f t="shared" ref="G179:G184" si="19">SUM(D179:F179)</f>
        <v>7</v>
      </c>
      <c r="H179" s="411">
        <v>9</v>
      </c>
      <c r="I179" s="112">
        <v>7</v>
      </c>
      <c r="J179" s="38"/>
      <c r="K179" s="38"/>
      <c r="L179" s="38"/>
      <c r="M179" s="38"/>
      <c r="N179" s="38"/>
      <c r="O179" s="88"/>
    </row>
    <row r="180" spans="1:15">
      <c r="A180" s="1891"/>
      <c r="B180" s="1899"/>
      <c r="C180" s="110">
        <v>2016</v>
      </c>
      <c r="D180" s="37">
        <v>6</v>
      </c>
      <c r="E180" s="38"/>
      <c r="F180" s="38"/>
      <c r="G180" s="284">
        <f t="shared" si="19"/>
        <v>6</v>
      </c>
      <c r="H180" s="411">
        <v>6</v>
      </c>
      <c r="I180" s="112">
        <v>6</v>
      </c>
      <c r="J180" s="38"/>
      <c r="K180" s="38"/>
      <c r="L180" s="38"/>
      <c r="M180" s="38"/>
      <c r="N180" s="38"/>
      <c r="O180" s="88"/>
    </row>
    <row r="181" spans="1:15">
      <c r="A181" s="1891"/>
      <c r="B181" s="1899"/>
      <c r="C181" s="110">
        <v>2017</v>
      </c>
      <c r="D181" s="37">
        <v>10</v>
      </c>
      <c r="E181" s="38"/>
      <c r="F181" s="38"/>
      <c r="G181" s="284">
        <f t="shared" si="19"/>
        <v>10</v>
      </c>
      <c r="H181" s="411">
        <v>5</v>
      </c>
      <c r="I181" s="112">
        <v>10</v>
      </c>
      <c r="J181" s="38"/>
      <c r="K181" s="38"/>
      <c r="L181" s="38"/>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23</v>
      </c>
      <c r="E185" s="116">
        <f>SUM(E178:E184)</f>
        <v>0</v>
      </c>
      <c r="F185" s="116">
        <f>SUM(F178:F184)</f>
        <v>0</v>
      </c>
      <c r="G185" s="220">
        <f t="shared" ref="G185:O185" si="20">SUM(G178:G184)</f>
        <v>23</v>
      </c>
      <c r="H185" s="285">
        <f t="shared" si="20"/>
        <v>20</v>
      </c>
      <c r="I185" s="115">
        <f t="shared" si="20"/>
        <v>23</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c r="B189" s="1977"/>
      <c r="C189" s="290">
        <v>2014</v>
      </c>
      <c r="D189" s="133"/>
      <c r="E189" s="109"/>
      <c r="F189" s="109"/>
      <c r="G189" s="291">
        <f>SUM(D189:F189)</f>
        <v>0</v>
      </c>
      <c r="H189" s="108"/>
      <c r="I189" s="109"/>
      <c r="J189" s="109"/>
      <c r="K189" s="109"/>
      <c r="L189" s="134"/>
    </row>
    <row r="190" spans="1:15">
      <c r="A190" s="1978"/>
      <c r="B190" s="1855"/>
      <c r="C190" s="73">
        <v>2015</v>
      </c>
      <c r="D190" s="37">
        <v>181</v>
      </c>
      <c r="E190" s="38"/>
      <c r="F190" s="38"/>
      <c r="G190" s="291">
        <f t="shared" ref="G190:G195" si="21">SUM(D190:F190)</f>
        <v>181</v>
      </c>
      <c r="H190" s="112"/>
      <c r="I190" s="38"/>
      <c r="J190" s="38">
        <v>181</v>
      </c>
      <c r="K190" s="38"/>
      <c r="L190" s="88"/>
    </row>
    <row r="191" spans="1:15">
      <c r="A191" s="1978"/>
      <c r="B191" s="1855"/>
      <c r="C191" s="73">
        <v>2016</v>
      </c>
      <c r="D191" s="37">
        <v>66</v>
      </c>
      <c r="E191" s="38"/>
      <c r="F191" s="38"/>
      <c r="G191" s="291">
        <f t="shared" si="21"/>
        <v>66</v>
      </c>
      <c r="H191" s="112"/>
      <c r="I191" s="38"/>
      <c r="J191" s="38">
        <v>66</v>
      </c>
      <c r="K191" s="38"/>
      <c r="L191" s="88"/>
    </row>
    <row r="192" spans="1:15">
      <c r="A192" s="1978"/>
      <c r="B192" s="1855"/>
      <c r="C192" s="73">
        <v>2017</v>
      </c>
      <c r="D192" s="37">
        <v>302</v>
      </c>
      <c r="E192" s="38"/>
      <c r="F192" s="38"/>
      <c r="G192" s="291">
        <f t="shared" si="21"/>
        <v>302</v>
      </c>
      <c r="H192" s="112"/>
      <c r="I192" s="38"/>
      <c r="J192" s="38">
        <v>118</v>
      </c>
      <c r="K192" s="38">
        <v>184</v>
      </c>
      <c r="L192" s="88"/>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549</v>
      </c>
      <c r="E196" s="116">
        <f t="shared" si="22"/>
        <v>0</v>
      </c>
      <c r="F196" s="116">
        <f t="shared" si="22"/>
        <v>0</v>
      </c>
      <c r="G196" s="292">
        <f t="shared" si="22"/>
        <v>549</v>
      </c>
      <c r="H196" s="115">
        <f t="shared" si="22"/>
        <v>0</v>
      </c>
      <c r="I196" s="116">
        <f t="shared" si="22"/>
        <v>0</v>
      </c>
      <c r="J196" s="116">
        <f t="shared" si="22"/>
        <v>365</v>
      </c>
      <c r="K196" s="116">
        <f t="shared" si="22"/>
        <v>184</v>
      </c>
      <c r="L196" s="117">
        <f t="shared" si="22"/>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c r="C213" s="72"/>
      <c r="D213" s="135">
        <v>69447.179999999993</v>
      </c>
      <c r="E213" s="328">
        <v>196722.95</v>
      </c>
      <c r="F213" s="135">
        <v>190504.13</v>
      </c>
      <c r="G213" s="135"/>
      <c r="H213" s="135"/>
      <c r="I213" s="326"/>
    </row>
    <row r="214" spans="1:12">
      <c r="A214" t="s">
        <v>164</v>
      </c>
      <c r="B214" s="1974"/>
      <c r="C214" s="72"/>
      <c r="D214" s="135">
        <v>68402.080000000002</v>
      </c>
      <c r="E214" s="328">
        <v>196722.95</v>
      </c>
      <c r="F214" s="135">
        <v>190504.13</v>
      </c>
      <c r="G214" s="135"/>
      <c r="H214" s="135"/>
      <c r="I214" s="326"/>
    </row>
    <row r="215" spans="1:12">
      <c r="A215" t="s">
        <v>165</v>
      </c>
      <c r="B215" s="1974"/>
      <c r="C215" s="72"/>
      <c r="D215" s="135"/>
      <c r="E215" s="328"/>
      <c r="F215" s="135"/>
      <c r="G215" s="135"/>
      <c r="H215" s="135"/>
      <c r="I215" s="326"/>
    </row>
    <row r="216" spans="1:12">
      <c r="A216" t="s">
        <v>166</v>
      </c>
      <c r="B216" s="1974"/>
      <c r="C216" s="72"/>
      <c r="D216" s="135">
        <v>1045.0999999999999</v>
      </c>
      <c r="E216" s="328">
        <v>0</v>
      </c>
      <c r="F216" s="135"/>
      <c r="G216" s="135"/>
      <c r="H216" s="135"/>
      <c r="I216" s="326"/>
    </row>
    <row r="217" spans="1:12">
      <c r="A217" t="s">
        <v>167</v>
      </c>
      <c r="B217" s="1974"/>
      <c r="C217" s="72"/>
      <c r="D217" s="135"/>
      <c r="E217" s="328">
        <v>0</v>
      </c>
      <c r="F217" s="135"/>
      <c r="G217" s="135"/>
      <c r="H217" s="135"/>
      <c r="I217" s="326"/>
    </row>
    <row r="218" spans="1:12" ht="30">
      <c r="A218" s="56" t="s">
        <v>168</v>
      </c>
      <c r="B218" s="1974"/>
      <c r="C218" s="72"/>
      <c r="D218" s="135">
        <v>37561.550000000003</v>
      </c>
      <c r="E218" s="328">
        <v>123639.35</v>
      </c>
      <c r="F218" s="135">
        <v>130877.59</v>
      </c>
      <c r="G218" s="135"/>
      <c r="H218" s="135"/>
      <c r="I218" s="326"/>
    </row>
    <row r="219" spans="1:12" ht="15.75" thickBot="1">
      <c r="A219" s="1532"/>
      <c r="B219" s="1975"/>
      <c r="C219" s="42" t="s">
        <v>13</v>
      </c>
      <c r="D219" s="333">
        <f>SUM(D214:D218)</f>
        <v>107008.73000000001</v>
      </c>
      <c r="E219" s="332">
        <f t="shared" ref="E219:I219" si="24">SUM(E214:E218)</f>
        <v>320362.30000000005</v>
      </c>
      <c r="F219" s="333">
        <f t="shared" si="24"/>
        <v>321381.71999999997</v>
      </c>
      <c r="G219" s="333">
        <f t="shared" si="24"/>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16"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575</v>
      </c>
      <c r="C1" s="1944"/>
      <c r="D1" s="1944"/>
      <c r="E1" s="1944"/>
      <c r="F1" s="1944"/>
    </row>
    <row r="2" spans="1:25" s="1" customFormat="1" ht="20.100000000000001" customHeight="1" thickBot="1"/>
    <row r="3" spans="1:25" s="4" customFormat="1" ht="20.100000000000001" customHeight="1">
      <c r="A3" s="1768" t="s">
        <v>2</v>
      </c>
      <c r="B3" s="1769"/>
      <c r="C3" s="1769"/>
      <c r="D3" s="1769"/>
      <c r="E3" s="1769"/>
      <c r="F3" s="2644"/>
      <c r="G3" s="2644"/>
      <c r="H3" s="2644"/>
      <c r="I3" s="2644"/>
      <c r="J3" s="2644"/>
      <c r="K3" s="2644"/>
      <c r="L3" s="2644"/>
      <c r="M3" s="2644"/>
      <c r="N3" s="2644"/>
      <c r="O3" s="2645"/>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770"/>
      <c r="B15" s="1660"/>
      <c r="C15" s="10"/>
      <c r="D15" s="2421" t="s">
        <v>5</v>
      </c>
      <c r="E15" s="2611"/>
      <c r="F15" s="2611"/>
      <c r="G15" s="2611"/>
      <c r="H15" s="1746"/>
      <c r="I15" s="12" t="s">
        <v>6</v>
      </c>
      <c r="J15" s="13"/>
      <c r="K15" s="13"/>
      <c r="L15" s="13"/>
      <c r="M15" s="13"/>
      <c r="N15" s="13"/>
      <c r="O15" s="14"/>
      <c r="P15" s="15"/>
      <c r="Q15" s="16"/>
      <c r="R15" s="17"/>
      <c r="S15" s="17"/>
      <c r="T15" s="17"/>
      <c r="U15" s="17"/>
      <c r="V15" s="17"/>
      <c r="W15" s="15"/>
      <c r="X15" s="15"/>
      <c r="Y15" s="16"/>
    </row>
    <row r="16" spans="1:25" s="56" customFormat="1" ht="129" customHeight="1">
      <c r="A16" s="153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408" t="s">
        <v>576</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378"/>
      <c r="B18" s="1855"/>
      <c r="C18" s="36">
        <v>2015</v>
      </c>
      <c r="D18" s="37">
        <v>19</v>
      </c>
      <c r="E18" s="38"/>
      <c r="F18" s="38"/>
      <c r="G18" s="32">
        <f>SUM(D18:F18)</f>
        <v>19</v>
      </c>
      <c r="H18" s="39">
        <v>19</v>
      </c>
      <c r="I18" s="38"/>
      <c r="J18" s="38"/>
      <c r="K18" s="38"/>
      <c r="L18" s="38"/>
      <c r="M18" s="38"/>
      <c r="N18" s="38"/>
      <c r="O18" s="40"/>
      <c r="P18" s="35"/>
      <c r="Q18" s="35"/>
      <c r="R18" s="35"/>
      <c r="S18" s="35"/>
      <c r="T18" s="35"/>
      <c r="U18" s="35"/>
      <c r="V18" s="35"/>
      <c r="W18" s="35"/>
      <c r="X18" s="35"/>
      <c r="Y18" s="35"/>
    </row>
    <row r="19" spans="1:25">
      <c r="A19" s="2378"/>
      <c r="B19" s="1855"/>
      <c r="C19" s="36">
        <v>2016</v>
      </c>
      <c r="D19" s="37">
        <v>28</v>
      </c>
      <c r="E19" s="38"/>
      <c r="F19" s="38"/>
      <c r="G19" s="32">
        <f t="shared" si="0"/>
        <v>28</v>
      </c>
      <c r="H19" s="39">
        <v>28</v>
      </c>
      <c r="I19" s="38"/>
      <c r="J19" s="38"/>
      <c r="K19" s="38"/>
      <c r="L19" s="38"/>
      <c r="M19" s="38"/>
      <c r="N19" s="38"/>
      <c r="O19" s="40"/>
      <c r="P19" s="35"/>
      <c r="Q19" s="35"/>
      <c r="R19" s="35"/>
      <c r="S19" s="35"/>
      <c r="T19" s="35"/>
      <c r="U19" s="35"/>
      <c r="V19" s="35"/>
      <c r="W19" s="35"/>
      <c r="X19" s="35"/>
      <c r="Y19" s="35"/>
    </row>
    <row r="20" spans="1:25">
      <c r="A20" s="2378"/>
      <c r="B20" s="1855"/>
      <c r="C20" s="36">
        <v>2017</v>
      </c>
      <c r="D20" s="37">
        <v>33</v>
      </c>
      <c r="E20" s="38"/>
      <c r="F20" s="38"/>
      <c r="G20" s="32">
        <f t="shared" si="0"/>
        <v>33</v>
      </c>
      <c r="H20" s="39">
        <v>33</v>
      </c>
      <c r="I20" s="38"/>
      <c r="J20" s="38"/>
      <c r="K20" s="38"/>
      <c r="L20" s="38"/>
      <c r="M20" s="38"/>
      <c r="N20" s="38"/>
      <c r="O20" s="40"/>
      <c r="P20" s="35"/>
      <c r="Q20" s="35"/>
      <c r="R20" s="35"/>
      <c r="S20" s="35"/>
      <c r="T20" s="35"/>
      <c r="U20" s="35"/>
      <c r="V20" s="35"/>
      <c r="W20" s="35"/>
      <c r="X20" s="35"/>
      <c r="Y20" s="35"/>
    </row>
    <row r="21" spans="1:25">
      <c r="A21" s="2378"/>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378"/>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378"/>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1856"/>
      <c r="B24" s="1857"/>
      <c r="C24" s="42" t="s">
        <v>13</v>
      </c>
      <c r="D24" s="43">
        <f>SUM(D17:D23)</f>
        <v>80</v>
      </c>
      <c r="E24" s="44">
        <f>SUM(E17:E23)</f>
        <v>0</v>
      </c>
      <c r="F24" s="44">
        <f>SUM(F17:F23)</f>
        <v>0</v>
      </c>
      <c r="G24" s="45">
        <f>SUM(D24:F24)</f>
        <v>80</v>
      </c>
      <c r="H24" s="46">
        <f>SUM(H17:H23)</f>
        <v>80</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770"/>
      <c r="B26" s="1660"/>
      <c r="C26" s="50"/>
      <c r="D26" s="2423" t="s">
        <v>5</v>
      </c>
      <c r="E26" s="2613"/>
      <c r="F26" s="2613"/>
      <c r="G26" s="2425"/>
      <c r="H26" s="15"/>
      <c r="I26" s="16"/>
      <c r="J26" s="17"/>
      <c r="K26" s="17"/>
      <c r="L26" s="17"/>
      <c r="M26" s="17"/>
      <c r="N26" s="17"/>
      <c r="O26" s="15"/>
      <c r="P26" s="15"/>
    </row>
    <row r="27" spans="1:25" s="56" customFormat="1" ht="93" customHeight="1">
      <c r="A27" s="171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408" t="s">
        <v>577</v>
      </c>
      <c r="B28" s="1855"/>
      <c r="C28" s="57">
        <v>2014</v>
      </c>
      <c r="D28" s="33"/>
      <c r="E28" s="31"/>
      <c r="F28" s="31"/>
      <c r="G28" s="58">
        <f>SUM(D28:F28)</f>
        <v>0</v>
      </c>
      <c r="H28" s="35"/>
      <c r="I28" s="35"/>
      <c r="J28" s="35"/>
      <c r="K28" s="35"/>
      <c r="L28" s="35"/>
      <c r="M28" s="35"/>
      <c r="N28" s="35"/>
      <c r="O28" s="35"/>
      <c r="P28" s="35"/>
      <c r="Q28" s="7"/>
    </row>
    <row r="29" spans="1:25">
      <c r="A29" s="2378"/>
      <c r="B29" s="1855"/>
      <c r="C29" s="59">
        <v>2015</v>
      </c>
      <c r="D29" s="39">
        <v>176</v>
      </c>
      <c r="E29" s="38"/>
      <c r="F29" s="38"/>
      <c r="G29" s="58">
        <f t="shared" ref="G29:G35" si="2">SUM(D29:F29)</f>
        <v>176</v>
      </c>
      <c r="H29" s="35"/>
      <c r="I29" s="35"/>
      <c r="J29" s="35"/>
      <c r="K29" s="35"/>
      <c r="L29" s="35"/>
      <c r="M29" s="35"/>
      <c r="N29" s="35"/>
      <c r="O29" s="35"/>
      <c r="P29" s="35"/>
      <c r="Q29" s="7"/>
    </row>
    <row r="30" spans="1:25">
      <c r="A30" s="2378"/>
      <c r="B30" s="1855"/>
      <c r="C30" s="59">
        <v>2016</v>
      </c>
      <c r="D30" s="39">
        <v>749</v>
      </c>
      <c r="E30" s="38"/>
      <c r="F30" s="38"/>
      <c r="G30" s="58">
        <f t="shared" si="2"/>
        <v>749</v>
      </c>
      <c r="H30" s="35"/>
      <c r="I30" s="35"/>
      <c r="J30" s="35"/>
      <c r="K30" s="35"/>
      <c r="L30" s="35"/>
      <c r="M30" s="35"/>
      <c r="N30" s="35"/>
      <c r="O30" s="35"/>
      <c r="P30" s="35"/>
      <c r="Q30" s="7"/>
    </row>
    <row r="31" spans="1:25">
      <c r="A31" s="2378"/>
      <c r="B31" s="1855"/>
      <c r="C31" s="59">
        <v>2017</v>
      </c>
      <c r="D31" s="39">
        <v>1590</v>
      </c>
      <c r="E31" s="38"/>
      <c r="F31" s="38"/>
      <c r="G31" s="58">
        <f t="shared" si="2"/>
        <v>1590</v>
      </c>
      <c r="H31" s="35"/>
      <c r="I31" s="35"/>
      <c r="J31" s="35"/>
      <c r="K31" s="35"/>
      <c r="L31" s="35"/>
      <c r="M31" s="35"/>
      <c r="N31" s="35"/>
      <c r="O31" s="35"/>
      <c r="P31" s="35"/>
      <c r="Q31" s="7"/>
    </row>
    <row r="32" spans="1:25">
      <c r="A32" s="2378"/>
      <c r="B32" s="1855"/>
      <c r="C32" s="59">
        <v>2018</v>
      </c>
      <c r="D32" s="39"/>
      <c r="E32" s="38"/>
      <c r="F32" s="38"/>
      <c r="G32" s="58">
        <f>SUM(D32:F32)</f>
        <v>0</v>
      </c>
      <c r="H32" s="35"/>
      <c r="I32" s="35"/>
      <c r="J32" s="35"/>
      <c r="K32" s="35"/>
      <c r="L32" s="35"/>
      <c r="M32" s="35"/>
      <c r="N32" s="35"/>
      <c r="O32" s="35"/>
      <c r="P32" s="35"/>
      <c r="Q32" s="7"/>
    </row>
    <row r="33" spans="1:17">
      <c r="A33" s="2378"/>
      <c r="B33" s="1855"/>
      <c r="C33" s="60">
        <v>2019</v>
      </c>
      <c r="D33" s="39"/>
      <c r="E33" s="38"/>
      <c r="F33" s="38"/>
      <c r="G33" s="58">
        <f t="shared" si="2"/>
        <v>0</v>
      </c>
      <c r="H33" s="35"/>
      <c r="I33" s="35"/>
      <c r="J33" s="35"/>
      <c r="K33" s="35"/>
      <c r="L33" s="35"/>
      <c r="M33" s="35"/>
      <c r="N33" s="35"/>
      <c r="O33" s="35"/>
      <c r="P33" s="35"/>
      <c r="Q33" s="7"/>
    </row>
    <row r="34" spans="1:17">
      <c r="A34" s="2378"/>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2515</v>
      </c>
      <c r="E35" s="44">
        <f>SUM(E28:E34)</f>
        <v>0</v>
      </c>
      <c r="F35" s="44">
        <f>SUM(F28:F34)</f>
        <v>0</v>
      </c>
      <c r="G35" s="48">
        <f t="shared" si="2"/>
        <v>2515</v>
      </c>
      <c r="H35" s="35"/>
      <c r="I35" s="35"/>
      <c r="J35" s="35"/>
      <c r="K35" s="35"/>
      <c r="L35" s="35"/>
      <c r="M35" s="35"/>
      <c r="N35" s="35"/>
      <c r="O35" s="35"/>
      <c r="P35" s="35"/>
      <c r="Q35" s="7"/>
    </row>
    <row r="36" spans="1:17">
      <c r="A36" s="1744"/>
      <c r="B36" s="1744"/>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771" t="s">
        <v>26</v>
      </c>
      <c r="B39" s="1663" t="s">
        <v>171</v>
      </c>
      <c r="C39" s="68" t="s">
        <v>9</v>
      </c>
      <c r="D39" s="1750" t="s">
        <v>28</v>
      </c>
      <c r="E39" s="70" t="s">
        <v>29</v>
      </c>
      <c r="F39" s="71"/>
      <c r="G39" s="28"/>
      <c r="H39" s="28"/>
    </row>
    <row r="40" spans="1:17">
      <c r="A40" s="2408" t="s">
        <v>578</v>
      </c>
      <c r="B40" s="1855"/>
      <c r="C40" s="72">
        <v>2014</v>
      </c>
      <c r="D40" s="30"/>
      <c r="E40" s="29"/>
      <c r="F40" s="7"/>
      <c r="G40" s="35"/>
      <c r="H40" s="35"/>
    </row>
    <row r="41" spans="1:17">
      <c r="A41" s="2378"/>
      <c r="B41" s="1855"/>
      <c r="C41" s="73">
        <v>2015</v>
      </c>
      <c r="D41" s="37">
        <v>2000</v>
      </c>
      <c r="E41" s="36">
        <v>2000</v>
      </c>
      <c r="F41" s="7"/>
      <c r="G41" s="35"/>
      <c r="H41" s="35"/>
    </row>
    <row r="42" spans="1:17">
      <c r="A42" s="2378"/>
      <c r="B42" s="1855"/>
      <c r="C42" s="73">
        <v>2016</v>
      </c>
      <c r="D42" s="37">
        <v>11637</v>
      </c>
      <c r="E42" s="36">
        <v>11637</v>
      </c>
      <c r="F42" s="7"/>
      <c r="G42" s="35"/>
      <c r="H42" s="35"/>
    </row>
    <row r="43" spans="1:17">
      <c r="A43" s="2378"/>
      <c r="B43" s="1855"/>
      <c r="C43" s="73">
        <v>2017</v>
      </c>
      <c r="D43" s="37">
        <v>9063</v>
      </c>
      <c r="E43" s="36">
        <v>9063</v>
      </c>
      <c r="F43" s="7"/>
      <c r="G43" s="35"/>
      <c r="H43" s="35"/>
    </row>
    <row r="44" spans="1:17">
      <c r="A44" s="2378"/>
      <c r="B44" s="1855"/>
      <c r="C44" s="73">
        <v>2018</v>
      </c>
      <c r="D44" s="37"/>
      <c r="E44" s="36"/>
      <c r="F44" s="7"/>
      <c r="G44" s="35"/>
      <c r="H44" s="35"/>
    </row>
    <row r="45" spans="1:17">
      <c r="A45" s="2378"/>
      <c r="B45" s="1855"/>
      <c r="C45" s="73">
        <v>2019</v>
      </c>
      <c r="D45" s="37"/>
      <c r="E45" s="36"/>
      <c r="F45" s="7"/>
      <c r="G45" s="35"/>
      <c r="H45" s="35"/>
    </row>
    <row r="46" spans="1:17">
      <c r="A46" s="2378"/>
      <c r="B46" s="1855"/>
      <c r="C46" s="73">
        <v>2020</v>
      </c>
      <c r="D46" s="37"/>
      <c r="E46" s="36"/>
      <c r="F46" s="7"/>
      <c r="G46" s="35"/>
      <c r="H46" s="35"/>
    </row>
    <row r="47" spans="1:17" ht="15.75" thickBot="1">
      <c r="A47" s="1856"/>
      <c r="B47" s="1857"/>
      <c r="C47" s="42" t="s">
        <v>13</v>
      </c>
      <c r="D47" s="43">
        <f>SUM(D40:D46)</f>
        <v>22700</v>
      </c>
      <c r="E47" s="455">
        <f>SUM(E40:E46)</f>
        <v>22700</v>
      </c>
      <c r="F47" s="78"/>
      <c r="G47" s="35"/>
      <c r="H47" s="35"/>
    </row>
    <row r="48" spans="1:17" s="35" customFormat="1" ht="15.75" thickBot="1">
      <c r="A48" s="1664"/>
      <c r="B48" s="80"/>
      <c r="C48" s="81"/>
    </row>
    <row r="49" spans="1:15" ht="83.25" customHeight="1">
      <c r="A49" s="1753" t="s">
        <v>32</v>
      </c>
      <c r="B49" s="1663" t="s">
        <v>171</v>
      </c>
      <c r="C49" s="84" t="s">
        <v>9</v>
      </c>
      <c r="D49" s="1750"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2408"/>
      <c r="B51" s="1881"/>
      <c r="C51" s="73">
        <v>2014</v>
      </c>
      <c r="D51" s="37"/>
      <c r="E51" s="38"/>
      <c r="F51" s="38"/>
      <c r="G51" s="38"/>
      <c r="H51" s="38"/>
      <c r="I51" s="38"/>
      <c r="J51" s="38"/>
      <c r="K51" s="88"/>
    </row>
    <row r="52" spans="1:15">
      <c r="A52" s="2408"/>
      <c r="B52" s="1881"/>
      <c r="C52" s="73">
        <v>2015</v>
      </c>
      <c r="D52" s="37"/>
      <c r="E52" s="38"/>
      <c r="F52" s="38"/>
      <c r="G52" s="38"/>
      <c r="H52" s="38"/>
      <c r="I52" s="38"/>
      <c r="J52" s="38"/>
      <c r="K52" s="88"/>
    </row>
    <row r="53" spans="1:15">
      <c r="A53" s="2408"/>
      <c r="B53" s="1881"/>
      <c r="C53" s="73">
        <v>2016</v>
      </c>
      <c r="D53" s="37"/>
      <c r="E53" s="38"/>
      <c r="F53" s="38"/>
      <c r="G53" s="38"/>
      <c r="H53" s="38"/>
      <c r="I53" s="38"/>
      <c r="J53" s="38"/>
      <c r="K53" s="88"/>
    </row>
    <row r="54" spans="1:15">
      <c r="A54" s="2408"/>
      <c r="B54" s="1881"/>
      <c r="C54" s="73">
        <v>2017</v>
      </c>
      <c r="D54" s="37"/>
      <c r="E54" s="38"/>
      <c r="F54" s="38"/>
      <c r="G54" s="38"/>
      <c r="H54" s="38"/>
      <c r="I54" s="38"/>
      <c r="J54" s="38"/>
      <c r="K54" s="88"/>
    </row>
    <row r="55" spans="1:15">
      <c r="A55" s="2408"/>
      <c r="B55" s="1881"/>
      <c r="C55" s="73">
        <v>2018</v>
      </c>
      <c r="D55" s="37"/>
      <c r="E55" s="38"/>
      <c r="F55" s="38"/>
      <c r="G55" s="38"/>
      <c r="H55" s="38"/>
      <c r="I55" s="38"/>
      <c r="J55" s="38"/>
      <c r="K55" s="88"/>
    </row>
    <row r="56" spans="1:15">
      <c r="A56" s="2408"/>
      <c r="B56" s="1881"/>
      <c r="C56" s="73">
        <v>2019</v>
      </c>
      <c r="D56" s="37"/>
      <c r="E56" s="38"/>
      <c r="F56" s="38"/>
      <c r="G56" s="38"/>
      <c r="H56" s="38"/>
      <c r="I56" s="38"/>
      <c r="J56" s="38"/>
      <c r="K56" s="88"/>
    </row>
    <row r="57" spans="1:15">
      <c r="A57" s="2408"/>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494" t="s">
        <v>44</v>
      </c>
      <c r="B60" s="1665"/>
      <c r="C60" s="2617" t="s">
        <v>9</v>
      </c>
      <c r="D60" s="2417" t="s">
        <v>45</v>
      </c>
      <c r="E60" s="1541" t="s">
        <v>6</v>
      </c>
      <c r="F60" s="1666"/>
      <c r="G60" s="1666"/>
      <c r="H60" s="1666"/>
      <c r="I60" s="1666"/>
      <c r="J60" s="1666"/>
      <c r="K60" s="1666"/>
      <c r="L60" s="1543"/>
    </row>
    <row r="61" spans="1:15" ht="115.5" customHeight="1">
      <c r="A61" s="2428"/>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399" t="s">
        <v>579</v>
      </c>
      <c r="B62" s="1899"/>
      <c r="C62" s="106">
        <v>2014</v>
      </c>
      <c r="D62" s="107"/>
      <c r="E62" s="108"/>
      <c r="F62" s="109"/>
      <c r="G62" s="109"/>
      <c r="H62" s="109"/>
      <c r="I62" s="109"/>
      <c r="J62" s="109"/>
      <c r="K62" s="109"/>
      <c r="L62" s="34"/>
      <c r="M62" s="7"/>
      <c r="N62" s="7"/>
      <c r="O62" s="7"/>
    </row>
    <row r="63" spans="1:15">
      <c r="A63" s="2395"/>
      <c r="B63" s="1899"/>
      <c r="C63" s="110">
        <v>2015</v>
      </c>
      <c r="D63" s="111">
        <v>3</v>
      </c>
      <c r="E63" s="112">
        <v>3</v>
      </c>
      <c r="F63" s="38"/>
      <c r="G63" s="38"/>
      <c r="H63" s="38"/>
      <c r="I63" s="38"/>
      <c r="J63" s="38"/>
      <c r="K63" s="38"/>
      <c r="L63" s="88"/>
      <c r="M63" s="7"/>
      <c r="N63" s="7"/>
      <c r="O63" s="7"/>
    </row>
    <row r="64" spans="1:15">
      <c r="A64" s="2395"/>
      <c r="B64" s="1899"/>
      <c r="C64" s="110">
        <v>2016</v>
      </c>
      <c r="D64" s="111">
        <v>44</v>
      </c>
      <c r="E64" s="112">
        <v>44</v>
      </c>
      <c r="F64" s="38"/>
      <c r="G64" s="38"/>
      <c r="H64" s="38"/>
      <c r="I64" s="38"/>
      <c r="J64" s="38"/>
      <c r="K64" s="38"/>
      <c r="L64" s="88"/>
      <c r="M64" s="7"/>
      <c r="N64" s="7"/>
      <c r="O64" s="7"/>
    </row>
    <row r="65" spans="1:20">
      <c r="A65" s="2395"/>
      <c r="B65" s="1899"/>
      <c r="C65" s="110">
        <v>2017</v>
      </c>
      <c r="D65" s="111">
        <v>25</v>
      </c>
      <c r="E65" s="112">
        <v>25</v>
      </c>
      <c r="F65" s="38"/>
      <c r="G65" s="38"/>
      <c r="H65" s="38"/>
      <c r="I65" s="38"/>
      <c r="J65" s="38"/>
      <c r="K65" s="38"/>
      <c r="L65" s="88"/>
      <c r="M65" s="7"/>
      <c r="N65" s="7"/>
      <c r="O65" s="7"/>
    </row>
    <row r="66" spans="1:20">
      <c r="A66" s="2395"/>
      <c r="B66" s="1899"/>
      <c r="C66" s="110">
        <v>2018</v>
      </c>
      <c r="D66" s="111"/>
      <c r="E66" s="112"/>
      <c r="F66" s="38"/>
      <c r="G66" s="38"/>
      <c r="H66" s="38"/>
      <c r="I66" s="38"/>
      <c r="J66" s="38"/>
      <c r="K66" s="38"/>
      <c r="L66" s="88"/>
      <c r="M66" s="7"/>
      <c r="N66" s="7"/>
      <c r="O66" s="7"/>
    </row>
    <row r="67" spans="1:20" ht="17.25" customHeight="1">
      <c r="A67" s="2395"/>
      <c r="B67" s="1899"/>
      <c r="C67" s="110">
        <v>2019</v>
      </c>
      <c r="D67" s="111"/>
      <c r="E67" s="112"/>
      <c r="F67" s="38"/>
      <c r="G67" s="38"/>
      <c r="H67" s="38"/>
      <c r="I67" s="38"/>
      <c r="J67" s="38"/>
      <c r="K67" s="38"/>
      <c r="L67" s="88"/>
      <c r="M67" s="7"/>
      <c r="N67" s="7"/>
      <c r="O67" s="7"/>
    </row>
    <row r="68" spans="1:20" ht="16.5" customHeight="1">
      <c r="A68" s="2395"/>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72</v>
      </c>
      <c r="E69" s="115">
        <f>SUM(E62:E68)</f>
        <v>72</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771" t="s">
        <v>47</v>
      </c>
      <c r="B71" s="1663" t="s">
        <v>171</v>
      </c>
      <c r="C71" s="68" t="s">
        <v>9</v>
      </c>
      <c r="D71" s="123" t="s">
        <v>49</v>
      </c>
      <c r="E71" s="123" t="s">
        <v>50</v>
      </c>
      <c r="F71" s="124" t="s">
        <v>51</v>
      </c>
      <c r="G71" s="1754" t="s">
        <v>52</v>
      </c>
      <c r="H71" s="126" t="s">
        <v>14</v>
      </c>
      <c r="I71" s="127" t="s">
        <v>15</v>
      </c>
      <c r="J71" s="128" t="s">
        <v>16</v>
      </c>
      <c r="K71" s="127" t="s">
        <v>17</v>
      </c>
      <c r="L71" s="127" t="s">
        <v>18</v>
      </c>
      <c r="M71" s="129" t="s">
        <v>19</v>
      </c>
      <c r="N71" s="128" t="s">
        <v>20</v>
      </c>
      <c r="O71" s="130" t="s">
        <v>21</v>
      </c>
    </row>
    <row r="72" spans="1:20" ht="15" customHeight="1">
      <c r="A72" s="2408" t="s">
        <v>580</v>
      </c>
      <c r="B72" s="1899"/>
      <c r="C72" s="72">
        <v>2014</v>
      </c>
      <c r="D72" s="131"/>
      <c r="E72" s="131"/>
      <c r="F72" s="131"/>
      <c r="G72" s="132">
        <f>SUM(D72:F72)</f>
        <v>0</v>
      </c>
      <c r="H72" s="30"/>
      <c r="I72" s="133"/>
      <c r="J72" s="109"/>
      <c r="K72" s="109"/>
      <c r="L72" s="109"/>
      <c r="M72" s="109"/>
      <c r="N72" s="109"/>
      <c r="O72" s="134"/>
    </row>
    <row r="73" spans="1:20">
      <c r="A73" s="2378"/>
      <c r="B73" s="1899"/>
      <c r="C73" s="73">
        <v>2015</v>
      </c>
      <c r="D73" s="135"/>
      <c r="E73" s="135"/>
      <c r="F73" s="135"/>
      <c r="G73" s="132">
        <f t="shared" ref="G73:G78" si="5">SUM(D73:F73)</f>
        <v>0</v>
      </c>
      <c r="H73" s="37"/>
      <c r="I73" s="37"/>
      <c r="J73" s="38"/>
      <c r="K73" s="38"/>
      <c r="L73" s="38"/>
      <c r="M73" s="38"/>
      <c r="N73" s="38"/>
      <c r="O73" s="88"/>
    </row>
    <row r="74" spans="1:20">
      <c r="A74" s="2378"/>
      <c r="B74" s="1899"/>
      <c r="C74" s="73">
        <v>2016</v>
      </c>
      <c r="D74" s="135">
        <v>2</v>
      </c>
      <c r="E74" s="135"/>
      <c r="F74" s="135"/>
      <c r="G74" s="132">
        <f t="shared" si="5"/>
        <v>2</v>
      </c>
      <c r="H74" s="37">
        <v>2</v>
      </c>
      <c r="I74" s="37"/>
      <c r="J74" s="38"/>
      <c r="K74" s="38"/>
      <c r="L74" s="38"/>
      <c r="M74" s="38"/>
      <c r="N74" s="38"/>
      <c r="O74" s="88"/>
    </row>
    <row r="75" spans="1:20">
      <c r="A75" s="2378"/>
      <c r="B75" s="1899"/>
      <c r="C75" s="73">
        <v>2017</v>
      </c>
      <c r="D75" s="135">
        <v>3</v>
      </c>
      <c r="E75" s="135"/>
      <c r="F75" s="135"/>
      <c r="G75" s="132">
        <f t="shared" si="5"/>
        <v>3</v>
      </c>
      <c r="H75" s="37">
        <v>3</v>
      </c>
      <c r="I75" s="37"/>
      <c r="J75" s="38"/>
      <c r="K75" s="38"/>
      <c r="L75" s="38"/>
      <c r="M75" s="38"/>
      <c r="N75" s="38"/>
      <c r="O75" s="88"/>
    </row>
    <row r="76" spans="1:20">
      <c r="A76" s="2378"/>
      <c r="B76" s="1899"/>
      <c r="C76" s="73">
        <v>2018</v>
      </c>
      <c r="D76" s="135"/>
      <c r="E76" s="135"/>
      <c r="F76" s="135"/>
      <c r="G76" s="132">
        <f t="shared" si="5"/>
        <v>0</v>
      </c>
      <c r="H76" s="37"/>
      <c r="I76" s="37"/>
      <c r="J76" s="38"/>
      <c r="K76" s="38"/>
      <c r="L76" s="38"/>
      <c r="M76" s="38"/>
      <c r="N76" s="38"/>
      <c r="O76" s="88"/>
    </row>
    <row r="77" spans="1:20" ht="15.75" customHeight="1">
      <c r="A77" s="2378"/>
      <c r="B77" s="1899"/>
      <c r="C77" s="73">
        <v>2019</v>
      </c>
      <c r="D77" s="135"/>
      <c r="E77" s="135"/>
      <c r="F77" s="135"/>
      <c r="G77" s="132">
        <f t="shared" si="5"/>
        <v>0</v>
      </c>
      <c r="H77" s="37"/>
      <c r="I77" s="37"/>
      <c r="J77" s="38"/>
      <c r="K77" s="38"/>
      <c r="L77" s="38"/>
      <c r="M77" s="38"/>
      <c r="N77" s="38"/>
      <c r="O77" s="88"/>
    </row>
    <row r="78" spans="1:20" ht="17.25" customHeight="1">
      <c r="A78" s="2378"/>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5</v>
      </c>
      <c r="E79" s="114">
        <f>SUM(E72:E78)</f>
        <v>0</v>
      </c>
      <c r="F79" s="114">
        <f>SUM(F72:F78)</f>
        <v>0</v>
      </c>
      <c r="G79" s="137">
        <f>SUM(G72:G78)</f>
        <v>5</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772" t="s">
        <v>56</v>
      </c>
      <c r="B84" s="1670" t="s">
        <v>178</v>
      </c>
      <c r="C84" s="149" t="s">
        <v>9</v>
      </c>
      <c r="D84" s="1755" t="s">
        <v>58</v>
      </c>
      <c r="E84" s="151" t="s">
        <v>59</v>
      </c>
      <c r="F84" s="152" t="s">
        <v>60</v>
      </c>
      <c r="G84" s="152" t="s">
        <v>61</v>
      </c>
      <c r="H84" s="152" t="s">
        <v>62</v>
      </c>
      <c r="I84" s="152" t="s">
        <v>63</v>
      </c>
      <c r="J84" s="152" t="s">
        <v>64</v>
      </c>
      <c r="K84" s="153" t="s">
        <v>65</v>
      </c>
    </row>
    <row r="85" spans="1:16" ht="15" customHeight="1">
      <c r="A85" s="2415" t="s">
        <v>581</v>
      </c>
      <c r="B85" s="1899"/>
      <c r="C85" s="72">
        <v>2014</v>
      </c>
      <c r="D85" s="154"/>
      <c r="E85" s="155"/>
      <c r="F85" s="31"/>
      <c r="G85" s="31"/>
      <c r="H85" s="31"/>
      <c r="I85" s="31"/>
      <c r="J85" s="31"/>
      <c r="K85" s="34"/>
    </row>
    <row r="86" spans="1:16">
      <c r="A86" s="2416"/>
      <c r="B86" s="1899"/>
      <c r="C86" s="73">
        <v>2015</v>
      </c>
      <c r="D86" s="156"/>
      <c r="E86" s="112"/>
      <c r="F86" s="38"/>
      <c r="G86" s="38"/>
      <c r="H86" s="38"/>
      <c r="I86" s="38"/>
      <c r="J86" s="38"/>
      <c r="K86" s="88"/>
    </row>
    <row r="87" spans="1:16">
      <c r="A87" s="2416"/>
      <c r="B87" s="1899"/>
      <c r="C87" s="73">
        <v>2016</v>
      </c>
      <c r="D87" s="156">
        <v>4</v>
      </c>
      <c r="E87" s="112">
        <v>4</v>
      </c>
      <c r="F87" s="38"/>
      <c r="G87" s="38"/>
      <c r="H87" s="38"/>
      <c r="I87" s="38"/>
      <c r="J87" s="38"/>
      <c r="K87" s="88"/>
    </row>
    <row r="88" spans="1:16">
      <c r="A88" s="2416"/>
      <c r="B88" s="1899"/>
      <c r="C88" s="73">
        <v>2017</v>
      </c>
      <c r="D88" s="156"/>
      <c r="E88" s="112"/>
      <c r="F88" s="38"/>
      <c r="G88" s="38"/>
      <c r="H88" s="38"/>
      <c r="I88" s="38"/>
      <c r="J88" s="38"/>
      <c r="K88" s="88"/>
    </row>
    <row r="89" spans="1:16">
      <c r="A89" s="2416"/>
      <c r="B89" s="1899"/>
      <c r="C89" s="73">
        <v>2018</v>
      </c>
      <c r="D89" s="156"/>
      <c r="E89" s="112"/>
      <c r="F89" s="38"/>
      <c r="G89" s="38"/>
      <c r="H89" s="38"/>
      <c r="I89" s="38"/>
      <c r="J89" s="38"/>
      <c r="K89" s="88"/>
    </row>
    <row r="90" spans="1:16">
      <c r="A90" s="2416"/>
      <c r="B90" s="1899"/>
      <c r="C90" s="73">
        <v>2019</v>
      </c>
      <c r="D90" s="156"/>
      <c r="E90" s="112"/>
      <c r="F90" s="38"/>
      <c r="G90" s="38"/>
      <c r="H90" s="38"/>
      <c r="I90" s="38"/>
      <c r="J90" s="38"/>
      <c r="K90" s="88"/>
    </row>
    <row r="91" spans="1:16">
      <c r="A91" s="2416"/>
      <c r="B91" s="1899"/>
      <c r="C91" s="73">
        <v>2020</v>
      </c>
      <c r="D91" s="156"/>
      <c r="E91" s="112"/>
      <c r="F91" s="38"/>
      <c r="G91" s="38"/>
      <c r="H91" s="38"/>
      <c r="I91" s="38"/>
      <c r="J91" s="38"/>
      <c r="K91" s="88"/>
    </row>
    <row r="92" spans="1:16" ht="18" customHeight="1" thickBot="1">
      <c r="A92" s="1940"/>
      <c r="B92" s="1900"/>
      <c r="C92" s="136" t="s">
        <v>13</v>
      </c>
      <c r="D92" s="157">
        <f t="shared" ref="D92:I92" si="7">SUM(D85:D91)</f>
        <v>4</v>
      </c>
      <c r="E92" s="115">
        <f t="shared" si="7"/>
        <v>4</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97" t="s">
        <v>68</v>
      </c>
      <c r="B96" s="2605" t="s">
        <v>179</v>
      </c>
      <c r="C96" s="2607" t="s">
        <v>9</v>
      </c>
      <c r="D96" s="2411" t="s">
        <v>70</v>
      </c>
      <c r="E96" s="2412"/>
      <c r="F96" s="1756" t="s">
        <v>71</v>
      </c>
      <c r="G96" s="1671"/>
      <c r="H96" s="1671"/>
      <c r="I96" s="1671"/>
      <c r="J96" s="1671"/>
      <c r="K96" s="1671"/>
      <c r="L96" s="1671"/>
      <c r="M96" s="1549"/>
      <c r="N96" s="165"/>
      <c r="O96" s="165"/>
      <c r="P96" s="165"/>
    </row>
    <row r="97" spans="1:16" ht="100.5" customHeight="1">
      <c r="A97" s="2406"/>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399"/>
      <c r="B98" s="1899"/>
      <c r="C98" s="106">
        <v>2014</v>
      </c>
      <c r="D98" s="30"/>
      <c r="E98" s="31"/>
      <c r="F98" s="174"/>
      <c r="G98" s="175"/>
      <c r="H98" s="175"/>
      <c r="I98" s="175"/>
      <c r="J98" s="175"/>
      <c r="K98" s="175"/>
      <c r="L98" s="175"/>
      <c r="M98" s="176"/>
      <c r="N98" s="165"/>
      <c r="O98" s="165"/>
      <c r="P98" s="165"/>
    </row>
    <row r="99" spans="1:16" ht="16.5" customHeight="1">
      <c r="A99" s="2395"/>
      <c r="B99" s="1899"/>
      <c r="C99" s="110">
        <v>2015</v>
      </c>
      <c r="D99" s="37"/>
      <c r="E99" s="38"/>
      <c r="F99" s="177"/>
      <c r="G99" s="178"/>
      <c r="H99" s="178"/>
      <c r="I99" s="178"/>
      <c r="J99" s="178"/>
      <c r="K99" s="178"/>
      <c r="L99" s="178"/>
      <c r="M99" s="179"/>
      <c r="N99" s="165"/>
      <c r="O99" s="165"/>
      <c r="P99" s="165"/>
    </row>
    <row r="100" spans="1:16" ht="16.5" customHeight="1">
      <c r="A100" s="2395"/>
      <c r="B100" s="1899"/>
      <c r="C100" s="110">
        <v>2016</v>
      </c>
      <c r="D100" s="37"/>
      <c r="E100" s="38"/>
      <c r="F100" s="177"/>
      <c r="G100" s="178"/>
      <c r="H100" s="178"/>
      <c r="I100" s="178"/>
      <c r="J100" s="178"/>
      <c r="K100" s="178"/>
      <c r="L100" s="178"/>
      <c r="M100" s="179"/>
      <c r="N100" s="165"/>
      <c r="O100" s="165"/>
      <c r="P100" s="165"/>
    </row>
    <row r="101" spans="1:16" ht="16.5" customHeight="1">
      <c r="A101" s="2395"/>
      <c r="B101" s="1899"/>
      <c r="C101" s="110">
        <v>2017</v>
      </c>
      <c r="D101" s="37"/>
      <c r="E101" s="38"/>
      <c r="F101" s="177"/>
      <c r="G101" s="178"/>
      <c r="H101" s="178"/>
      <c r="I101" s="178"/>
      <c r="J101" s="178"/>
      <c r="K101" s="178"/>
      <c r="L101" s="178"/>
      <c r="M101" s="179"/>
      <c r="N101" s="165"/>
      <c r="O101" s="165"/>
      <c r="P101" s="165"/>
    </row>
    <row r="102" spans="1:16" ht="15.75" customHeight="1">
      <c r="A102" s="2395"/>
      <c r="B102" s="1899"/>
      <c r="C102" s="110">
        <v>2018</v>
      </c>
      <c r="D102" s="37"/>
      <c r="E102" s="38"/>
      <c r="F102" s="177"/>
      <c r="G102" s="178"/>
      <c r="H102" s="178"/>
      <c r="I102" s="178"/>
      <c r="J102" s="178"/>
      <c r="K102" s="178"/>
      <c r="L102" s="178"/>
      <c r="M102" s="179"/>
      <c r="N102" s="165"/>
      <c r="O102" s="165"/>
      <c r="P102" s="165"/>
    </row>
    <row r="103" spans="1:16" ht="14.25" customHeight="1">
      <c r="A103" s="2395"/>
      <c r="B103" s="1899"/>
      <c r="C103" s="110">
        <v>2019</v>
      </c>
      <c r="D103" s="37"/>
      <c r="E103" s="38"/>
      <c r="F103" s="177"/>
      <c r="G103" s="178"/>
      <c r="H103" s="178"/>
      <c r="I103" s="178"/>
      <c r="J103" s="178"/>
      <c r="K103" s="178"/>
      <c r="L103" s="178"/>
      <c r="M103" s="179"/>
      <c r="N103" s="165"/>
      <c r="O103" s="165"/>
      <c r="P103" s="165"/>
    </row>
    <row r="104" spans="1:16" ht="14.25" customHeight="1">
      <c r="A104" s="2395"/>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97" t="s">
        <v>77</v>
      </c>
      <c r="B107" s="2605" t="s">
        <v>179</v>
      </c>
      <c r="C107" s="2607" t="s">
        <v>9</v>
      </c>
      <c r="D107" s="2414" t="s">
        <v>78</v>
      </c>
      <c r="E107" s="1756" t="s">
        <v>79</v>
      </c>
      <c r="F107" s="1671"/>
      <c r="G107" s="1671"/>
      <c r="H107" s="1671"/>
      <c r="I107" s="1671"/>
      <c r="J107" s="1671"/>
      <c r="K107" s="1671"/>
      <c r="L107" s="1549"/>
      <c r="M107" s="185"/>
      <c r="N107" s="185"/>
    </row>
    <row r="108" spans="1:16" ht="103.5" customHeight="1">
      <c r="A108" s="2406"/>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399"/>
      <c r="B109" s="1899"/>
      <c r="C109" s="106">
        <v>2014</v>
      </c>
      <c r="D109" s="31"/>
      <c r="E109" s="174"/>
      <c r="F109" s="175"/>
      <c r="G109" s="175"/>
      <c r="H109" s="175"/>
      <c r="I109" s="175"/>
      <c r="J109" s="175"/>
      <c r="K109" s="175"/>
      <c r="L109" s="176"/>
      <c r="M109" s="185"/>
      <c r="N109" s="185"/>
    </row>
    <row r="110" spans="1:16">
      <c r="A110" s="2395"/>
      <c r="B110" s="1899"/>
      <c r="C110" s="110">
        <v>2015</v>
      </c>
      <c r="D110" s="38"/>
      <c r="E110" s="177"/>
      <c r="F110" s="178"/>
      <c r="G110" s="178"/>
      <c r="H110" s="178"/>
      <c r="I110" s="178"/>
      <c r="J110" s="178"/>
      <c r="K110" s="178"/>
      <c r="L110" s="179"/>
      <c r="M110" s="185"/>
      <c r="N110" s="185"/>
    </row>
    <row r="111" spans="1:16">
      <c r="A111" s="2395"/>
      <c r="B111" s="1899"/>
      <c r="C111" s="110">
        <v>2016</v>
      </c>
      <c r="D111" s="38"/>
      <c r="E111" s="177"/>
      <c r="F111" s="178"/>
      <c r="G111" s="178"/>
      <c r="H111" s="178"/>
      <c r="I111" s="178"/>
      <c r="J111" s="178"/>
      <c r="K111" s="178"/>
      <c r="L111" s="179"/>
      <c r="M111" s="185"/>
      <c r="N111" s="185"/>
    </row>
    <row r="112" spans="1:16">
      <c r="A112" s="2395"/>
      <c r="B112" s="1899"/>
      <c r="C112" s="110">
        <v>2017</v>
      </c>
      <c r="D112" s="38"/>
      <c r="E112" s="177"/>
      <c r="F112" s="178"/>
      <c r="G112" s="178"/>
      <c r="H112" s="178"/>
      <c r="I112" s="178"/>
      <c r="J112" s="178"/>
      <c r="K112" s="178"/>
      <c r="L112" s="179"/>
      <c r="M112" s="185"/>
      <c r="N112" s="185"/>
    </row>
    <row r="113" spans="1:14">
      <c r="A113" s="2395"/>
      <c r="B113" s="1899"/>
      <c r="C113" s="110">
        <v>2018</v>
      </c>
      <c r="D113" s="38"/>
      <c r="E113" s="177"/>
      <c r="F113" s="178"/>
      <c r="G113" s="178"/>
      <c r="H113" s="178"/>
      <c r="I113" s="178"/>
      <c r="J113" s="178"/>
      <c r="K113" s="178"/>
      <c r="L113" s="179"/>
      <c r="M113" s="185"/>
      <c r="N113" s="185"/>
    </row>
    <row r="114" spans="1:14">
      <c r="A114" s="2395"/>
      <c r="B114" s="1899"/>
      <c r="C114" s="110">
        <v>2019</v>
      </c>
      <c r="D114" s="38"/>
      <c r="E114" s="177"/>
      <c r="F114" s="178"/>
      <c r="G114" s="178"/>
      <c r="H114" s="178"/>
      <c r="I114" s="178"/>
      <c r="J114" s="178"/>
      <c r="K114" s="178"/>
      <c r="L114" s="179"/>
      <c r="M114" s="185"/>
      <c r="N114" s="185"/>
    </row>
    <row r="115" spans="1:14">
      <c r="A115" s="2395"/>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97" t="s">
        <v>81</v>
      </c>
      <c r="B118" s="2605" t="s">
        <v>179</v>
      </c>
      <c r="C118" s="2607" t="s">
        <v>9</v>
      </c>
      <c r="D118" s="2414" t="s">
        <v>82</v>
      </c>
      <c r="E118" s="1756" t="s">
        <v>79</v>
      </c>
      <c r="F118" s="1671"/>
      <c r="G118" s="1671"/>
      <c r="H118" s="1671"/>
      <c r="I118" s="1671"/>
      <c r="J118" s="1671"/>
      <c r="K118" s="1671"/>
      <c r="L118" s="1549"/>
      <c r="M118" s="185"/>
      <c r="N118" s="185"/>
    </row>
    <row r="119" spans="1:14" ht="120.75" customHeight="1">
      <c r="A119" s="2406"/>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399"/>
      <c r="B120" s="1899"/>
      <c r="C120" s="106">
        <v>2014</v>
      </c>
      <c r="D120" s="31"/>
      <c r="E120" s="174"/>
      <c r="F120" s="175"/>
      <c r="G120" s="175"/>
      <c r="H120" s="175"/>
      <c r="I120" s="175"/>
      <c r="J120" s="175"/>
      <c r="K120" s="175"/>
      <c r="L120" s="176"/>
      <c r="M120" s="185"/>
      <c r="N120" s="185"/>
    </row>
    <row r="121" spans="1:14">
      <c r="A121" s="2395"/>
      <c r="B121" s="1899"/>
      <c r="C121" s="110">
        <v>2015</v>
      </c>
      <c r="D121" s="38"/>
      <c r="E121" s="177"/>
      <c r="F121" s="178"/>
      <c r="G121" s="178"/>
      <c r="H121" s="178"/>
      <c r="I121" s="178"/>
      <c r="J121" s="178"/>
      <c r="K121" s="178"/>
      <c r="L121" s="179"/>
      <c r="M121" s="185"/>
      <c r="N121" s="185"/>
    </row>
    <row r="122" spans="1:14">
      <c r="A122" s="2395"/>
      <c r="B122" s="1899"/>
      <c r="C122" s="110">
        <v>2016</v>
      </c>
      <c r="D122" s="38"/>
      <c r="E122" s="177"/>
      <c r="F122" s="178"/>
      <c r="G122" s="178"/>
      <c r="H122" s="178"/>
      <c r="I122" s="178"/>
      <c r="J122" s="178"/>
      <c r="K122" s="178"/>
      <c r="L122" s="179"/>
      <c r="M122" s="185"/>
      <c r="N122" s="185"/>
    </row>
    <row r="123" spans="1:14">
      <c r="A123" s="2395"/>
      <c r="B123" s="1899"/>
      <c r="C123" s="110">
        <v>2017</v>
      </c>
      <c r="D123" s="38"/>
      <c r="E123" s="177"/>
      <c r="F123" s="178"/>
      <c r="G123" s="178"/>
      <c r="H123" s="178"/>
      <c r="I123" s="178"/>
      <c r="J123" s="178"/>
      <c r="K123" s="178"/>
      <c r="L123" s="179"/>
      <c r="M123" s="185"/>
      <c r="N123" s="185"/>
    </row>
    <row r="124" spans="1:14">
      <c r="A124" s="2395"/>
      <c r="B124" s="1899"/>
      <c r="C124" s="110">
        <v>2018</v>
      </c>
      <c r="D124" s="38"/>
      <c r="E124" s="177"/>
      <c r="F124" s="178"/>
      <c r="G124" s="178"/>
      <c r="H124" s="178"/>
      <c r="I124" s="178"/>
      <c r="J124" s="178"/>
      <c r="K124" s="178"/>
      <c r="L124" s="179"/>
      <c r="M124" s="185"/>
      <c r="N124" s="185"/>
    </row>
    <row r="125" spans="1:14">
      <c r="A125" s="2395"/>
      <c r="B125" s="1899"/>
      <c r="C125" s="110">
        <v>2019</v>
      </c>
      <c r="D125" s="38"/>
      <c r="E125" s="177"/>
      <c r="F125" s="178"/>
      <c r="G125" s="178"/>
      <c r="H125" s="178"/>
      <c r="I125" s="178"/>
      <c r="J125" s="178"/>
      <c r="K125" s="178"/>
      <c r="L125" s="179"/>
      <c r="M125" s="185"/>
      <c r="N125" s="185"/>
    </row>
    <row r="126" spans="1:14">
      <c r="A126" s="2395"/>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497" t="s">
        <v>84</v>
      </c>
      <c r="B129" s="2605" t="s">
        <v>179</v>
      </c>
      <c r="C129" s="1745" t="s">
        <v>9</v>
      </c>
      <c r="D129" s="1758" t="s">
        <v>85</v>
      </c>
      <c r="E129" s="1674"/>
      <c r="F129" s="1674"/>
      <c r="G129" s="1759"/>
      <c r="H129" s="185"/>
      <c r="I129" s="185"/>
      <c r="J129" s="185"/>
      <c r="K129" s="185"/>
      <c r="L129" s="185"/>
      <c r="M129" s="185"/>
      <c r="N129" s="185"/>
    </row>
    <row r="130" spans="1:16" ht="77.25" customHeight="1">
      <c r="A130" s="2406"/>
      <c r="B130" s="1912"/>
      <c r="C130" s="1741"/>
      <c r="D130" s="166" t="s">
        <v>86</v>
      </c>
      <c r="E130" s="193" t="s">
        <v>87</v>
      </c>
      <c r="F130" s="167" t="s">
        <v>88</v>
      </c>
      <c r="G130" s="194" t="s">
        <v>13</v>
      </c>
      <c r="H130" s="185"/>
      <c r="I130" s="185"/>
      <c r="J130" s="185"/>
      <c r="K130" s="185"/>
      <c r="L130" s="185"/>
      <c r="M130" s="185"/>
      <c r="N130" s="185"/>
    </row>
    <row r="131" spans="1:16" ht="15" customHeight="1">
      <c r="A131" s="2408"/>
      <c r="B131" s="1855"/>
      <c r="C131" s="106">
        <v>2015</v>
      </c>
      <c r="D131" s="30"/>
      <c r="E131" s="31"/>
      <c r="F131" s="31"/>
      <c r="G131" s="195">
        <f t="shared" ref="G131:G136" si="11">SUM(D131:F131)</f>
        <v>0</v>
      </c>
      <c r="H131" s="185"/>
      <c r="I131" s="185"/>
      <c r="J131" s="185"/>
      <c r="K131" s="185"/>
      <c r="L131" s="185"/>
      <c r="M131" s="185"/>
      <c r="N131" s="185"/>
    </row>
    <row r="132" spans="1:16">
      <c r="A132" s="2378"/>
      <c r="B132" s="1855"/>
      <c r="C132" s="110">
        <v>2016</v>
      </c>
      <c r="D132" s="37"/>
      <c r="E132" s="38"/>
      <c r="F132" s="38"/>
      <c r="G132" s="195">
        <f t="shared" si="11"/>
        <v>0</v>
      </c>
      <c r="H132" s="185"/>
      <c r="I132" s="185"/>
      <c r="J132" s="185"/>
      <c r="K132" s="185"/>
      <c r="L132" s="185"/>
      <c r="M132" s="185"/>
      <c r="N132" s="185"/>
    </row>
    <row r="133" spans="1:16">
      <c r="A133" s="2378"/>
      <c r="B133" s="1855"/>
      <c r="C133" s="110">
        <v>2017</v>
      </c>
      <c r="D133" s="37"/>
      <c r="E133" s="38"/>
      <c r="F133" s="38"/>
      <c r="G133" s="195">
        <f t="shared" si="11"/>
        <v>0</v>
      </c>
      <c r="H133" s="185"/>
      <c r="I133" s="185"/>
      <c r="J133" s="185"/>
      <c r="K133" s="185"/>
      <c r="L133" s="185"/>
      <c r="M133" s="185"/>
      <c r="N133" s="185"/>
    </row>
    <row r="134" spans="1:16">
      <c r="A134" s="2378"/>
      <c r="B134" s="1855"/>
      <c r="C134" s="110">
        <v>2018</v>
      </c>
      <c r="D134" s="37"/>
      <c r="E134" s="38"/>
      <c r="F134" s="38"/>
      <c r="G134" s="195">
        <f t="shared" si="11"/>
        <v>0</v>
      </c>
      <c r="H134" s="185"/>
      <c r="I134" s="185"/>
      <c r="J134" s="185"/>
      <c r="K134" s="185"/>
      <c r="L134" s="185"/>
      <c r="M134" s="185"/>
      <c r="N134" s="185"/>
    </row>
    <row r="135" spans="1:16">
      <c r="A135" s="2378"/>
      <c r="B135" s="1855"/>
      <c r="C135" s="110">
        <v>2019</v>
      </c>
      <c r="D135" s="37"/>
      <c r="E135" s="38"/>
      <c r="F135" s="38"/>
      <c r="G135" s="195">
        <f t="shared" si="11"/>
        <v>0</v>
      </c>
      <c r="H135" s="185"/>
      <c r="I135" s="185"/>
      <c r="J135" s="185"/>
      <c r="K135" s="185"/>
      <c r="L135" s="185"/>
      <c r="M135" s="185"/>
      <c r="N135" s="185"/>
    </row>
    <row r="136" spans="1:16">
      <c r="A136" s="2378"/>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500" t="s">
        <v>91</v>
      </c>
      <c r="B142" s="2601" t="s">
        <v>179</v>
      </c>
      <c r="C142" s="2603" t="s">
        <v>9</v>
      </c>
      <c r="D142" s="1675" t="s">
        <v>92</v>
      </c>
      <c r="E142" s="1676"/>
      <c r="F142" s="1676"/>
      <c r="G142" s="1676"/>
      <c r="H142" s="1676"/>
      <c r="I142" s="1677"/>
      <c r="J142" s="2597" t="s">
        <v>93</v>
      </c>
      <c r="K142" s="2598"/>
      <c r="L142" s="2598"/>
      <c r="M142" s="2598"/>
      <c r="N142" s="2599"/>
      <c r="O142" s="165"/>
      <c r="P142" s="165"/>
    </row>
    <row r="143" spans="1:16" ht="113.25" customHeight="1">
      <c r="A143" s="2410"/>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399"/>
      <c r="B144" s="1899"/>
      <c r="C144" s="106">
        <v>2014</v>
      </c>
      <c r="D144" s="30"/>
      <c r="E144" s="30"/>
      <c r="F144" s="31"/>
      <c r="G144" s="175"/>
      <c r="H144" s="175"/>
      <c r="I144" s="213">
        <f>D144+F144+G144+H144</f>
        <v>0</v>
      </c>
      <c r="J144" s="214"/>
      <c r="K144" s="215"/>
      <c r="L144" s="214"/>
      <c r="M144" s="215"/>
      <c r="N144" s="216"/>
      <c r="O144" s="165"/>
      <c r="P144" s="165"/>
    </row>
    <row r="145" spans="1:16" ht="19.5" customHeight="1">
      <c r="A145" s="2395"/>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2395"/>
      <c r="B146" s="1899"/>
      <c r="C146" s="110">
        <v>2016</v>
      </c>
      <c r="D146" s="37"/>
      <c r="E146" s="37"/>
      <c r="F146" s="38"/>
      <c r="G146" s="178"/>
      <c r="H146" s="178"/>
      <c r="I146" s="213">
        <f t="shared" si="13"/>
        <v>0</v>
      </c>
      <c r="J146" s="217"/>
      <c r="K146" s="218"/>
      <c r="L146" s="217"/>
      <c r="M146" s="218"/>
      <c r="N146" s="219"/>
      <c r="O146" s="165"/>
      <c r="P146" s="165"/>
    </row>
    <row r="147" spans="1:16" ht="17.25" customHeight="1">
      <c r="A147" s="2395"/>
      <c r="B147" s="1899"/>
      <c r="C147" s="110">
        <v>2017</v>
      </c>
      <c r="D147" s="37"/>
      <c r="E147" s="37"/>
      <c r="F147" s="38"/>
      <c r="G147" s="178"/>
      <c r="H147" s="178"/>
      <c r="I147" s="213">
        <f t="shared" si="13"/>
        <v>0</v>
      </c>
      <c r="J147" s="217"/>
      <c r="K147" s="218"/>
      <c r="L147" s="217"/>
      <c r="M147" s="218"/>
      <c r="N147" s="219"/>
      <c r="O147" s="165"/>
      <c r="P147" s="165"/>
    </row>
    <row r="148" spans="1:16" ht="19.5" customHeight="1">
      <c r="A148" s="2395"/>
      <c r="B148" s="1899"/>
      <c r="C148" s="110">
        <v>2018</v>
      </c>
      <c r="D148" s="37"/>
      <c r="E148" s="37"/>
      <c r="F148" s="38"/>
      <c r="G148" s="178"/>
      <c r="H148" s="178"/>
      <c r="I148" s="213">
        <f t="shared" si="13"/>
        <v>0</v>
      </c>
      <c r="J148" s="217"/>
      <c r="K148" s="218"/>
      <c r="L148" s="217"/>
      <c r="M148" s="218"/>
      <c r="N148" s="219"/>
      <c r="O148" s="165"/>
      <c r="P148" s="165"/>
    </row>
    <row r="149" spans="1:16" ht="19.5" customHeight="1">
      <c r="A149" s="2395"/>
      <c r="B149" s="1899"/>
      <c r="C149" s="110">
        <v>2019</v>
      </c>
      <c r="D149" s="37"/>
      <c r="E149" s="37"/>
      <c r="F149" s="38"/>
      <c r="G149" s="178"/>
      <c r="H149" s="178"/>
      <c r="I149" s="213">
        <f t="shared" si="13"/>
        <v>0</v>
      </c>
      <c r="J149" s="217"/>
      <c r="K149" s="218"/>
      <c r="L149" s="217"/>
      <c r="M149" s="218"/>
      <c r="N149" s="219"/>
      <c r="O149" s="165"/>
      <c r="P149" s="165"/>
    </row>
    <row r="150" spans="1:16" ht="18.75" customHeight="1">
      <c r="A150" s="2395"/>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646" t="s">
        <v>105</v>
      </c>
      <c r="B153" s="2601" t="s">
        <v>179</v>
      </c>
      <c r="C153" s="2602" t="s">
        <v>9</v>
      </c>
      <c r="D153" s="1678" t="s">
        <v>106</v>
      </c>
      <c r="E153" s="1678"/>
      <c r="F153" s="1679"/>
      <c r="G153" s="1679"/>
      <c r="H153" s="1678" t="s">
        <v>107</v>
      </c>
      <c r="I153" s="1678"/>
      <c r="J153" s="1565"/>
      <c r="K153" s="56"/>
      <c r="L153" s="56"/>
      <c r="M153" s="56"/>
      <c r="N153" s="56"/>
      <c r="O153" s="165"/>
      <c r="P153" s="165"/>
    </row>
    <row r="154" spans="1:16" ht="49.5" customHeight="1">
      <c r="A154" s="2401"/>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399"/>
      <c r="B155" s="1899"/>
      <c r="C155" s="233">
        <v>2014</v>
      </c>
      <c r="D155" s="214"/>
      <c r="E155" s="175"/>
      <c r="F155" s="215"/>
      <c r="G155" s="213">
        <f>SUM(D155:F155)</f>
        <v>0</v>
      </c>
      <c r="H155" s="214"/>
      <c r="I155" s="175"/>
      <c r="J155" s="176"/>
      <c r="O155" s="165"/>
      <c r="P155" s="165"/>
    </row>
    <row r="156" spans="1:16" ht="19.5" customHeight="1">
      <c r="A156" s="2395"/>
      <c r="B156" s="1899"/>
      <c r="C156" s="234">
        <v>2015</v>
      </c>
      <c r="D156" s="217"/>
      <c r="E156" s="178"/>
      <c r="F156" s="218"/>
      <c r="G156" s="213">
        <f t="shared" ref="G156:G161" si="15">SUM(D156:F156)</f>
        <v>0</v>
      </c>
      <c r="H156" s="217"/>
      <c r="I156" s="178"/>
      <c r="J156" s="179"/>
      <c r="O156" s="165"/>
      <c r="P156" s="165"/>
    </row>
    <row r="157" spans="1:16" ht="17.25" customHeight="1">
      <c r="A157" s="2395"/>
      <c r="B157" s="1899"/>
      <c r="C157" s="234">
        <v>2016</v>
      </c>
      <c r="D157" s="217"/>
      <c r="E157" s="178"/>
      <c r="F157" s="218"/>
      <c r="G157" s="213">
        <f t="shared" si="15"/>
        <v>0</v>
      </c>
      <c r="H157" s="217"/>
      <c r="I157" s="178"/>
      <c r="J157" s="179"/>
      <c r="O157" s="165"/>
      <c r="P157" s="165"/>
    </row>
    <row r="158" spans="1:16" ht="15" customHeight="1">
      <c r="A158" s="2395"/>
      <c r="B158" s="1899"/>
      <c r="C158" s="234">
        <v>2017</v>
      </c>
      <c r="D158" s="217"/>
      <c r="E158" s="178"/>
      <c r="F158" s="218"/>
      <c r="G158" s="213">
        <f t="shared" si="15"/>
        <v>0</v>
      </c>
      <c r="H158" s="217"/>
      <c r="I158" s="178"/>
      <c r="J158" s="179"/>
      <c r="O158" s="165"/>
      <c r="P158" s="165"/>
    </row>
    <row r="159" spans="1:16" ht="19.5" customHeight="1">
      <c r="A159" s="2395"/>
      <c r="B159" s="1899"/>
      <c r="C159" s="234">
        <v>2018</v>
      </c>
      <c r="D159" s="217"/>
      <c r="E159" s="178"/>
      <c r="F159" s="218"/>
      <c r="G159" s="213">
        <f t="shared" si="15"/>
        <v>0</v>
      </c>
      <c r="H159" s="217"/>
      <c r="I159" s="178"/>
      <c r="J159" s="179"/>
      <c r="O159" s="165"/>
      <c r="P159" s="165"/>
    </row>
    <row r="160" spans="1:16" ht="15" customHeight="1">
      <c r="A160" s="2395"/>
      <c r="B160" s="1899"/>
      <c r="C160" s="234">
        <v>2019</v>
      </c>
      <c r="D160" s="217"/>
      <c r="E160" s="178"/>
      <c r="F160" s="218"/>
      <c r="G160" s="213">
        <f t="shared" si="15"/>
        <v>0</v>
      </c>
      <c r="H160" s="217"/>
      <c r="I160" s="178"/>
      <c r="J160" s="179"/>
      <c r="O160" s="165"/>
      <c r="P160" s="165"/>
    </row>
    <row r="161" spans="1:18" ht="17.25" customHeight="1">
      <c r="A161" s="2395"/>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1681"/>
      <c r="F163" s="165"/>
      <c r="G163" s="165"/>
      <c r="H163" s="165"/>
      <c r="I163" s="165"/>
      <c r="J163" s="241"/>
      <c r="K163" s="242"/>
    </row>
    <row r="164" spans="1:18" ht="95.25" customHeight="1">
      <c r="A164" s="1760" t="s">
        <v>115</v>
      </c>
      <c r="B164" s="405" t="s">
        <v>181</v>
      </c>
      <c r="C164" s="1567" t="s">
        <v>9</v>
      </c>
      <c r="D164" s="246" t="s">
        <v>117</v>
      </c>
      <c r="E164" s="246" t="s">
        <v>118</v>
      </c>
      <c r="F164" s="1682" t="s">
        <v>119</v>
      </c>
      <c r="G164" s="246" t="s">
        <v>120</v>
      </c>
      <c r="H164" s="246" t="s">
        <v>121</v>
      </c>
      <c r="I164" s="248" t="s">
        <v>122</v>
      </c>
      <c r="J164" s="1761" t="s">
        <v>123</v>
      </c>
      <c r="K164" s="1761" t="s">
        <v>124</v>
      </c>
      <c r="L164" s="1721"/>
    </row>
    <row r="165" spans="1:18" ht="15.75" customHeight="1">
      <c r="A165" s="1878"/>
      <c r="B165" s="1879"/>
      <c r="C165" s="251">
        <v>2014</v>
      </c>
      <c r="D165" s="175"/>
      <c r="E165" s="175"/>
      <c r="F165" s="175"/>
      <c r="G165" s="175"/>
      <c r="H165" s="175"/>
      <c r="I165" s="176"/>
      <c r="J165" s="1683">
        <f>SUM(D165,F165,H165)</f>
        <v>0</v>
      </c>
      <c r="K165" s="253">
        <f>SUM(E165,G165,I165)</f>
        <v>0</v>
      </c>
      <c r="L165" s="1721"/>
    </row>
    <row r="166" spans="1:18">
      <c r="A166" s="1880"/>
      <c r="B166" s="1881"/>
      <c r="C166" s="254">
        <v>2015</v>
      </c>
      <c r="D166" s="255"/>
      <c r="E166" s="255"/>
      <c r="F166" s="255"/>
      <c r="G166" s="255"/>
      <c r="H166" s="255"/>
      <c r="I166" s="256"/>
      <c r="J166" s="1684">
        <f t="shared" ref="J166:K171" si="17">SUM(D166,F166,H166)</f>
        <v>0</v>
      </c>
      <c r="K166" s="408">
        <f t="shared" si="17"/>
        <v>0</v>
      </c>
      <c r="L166" s="1721"/>
    </row>
    <row r="167" spans="1:18">
      <c r="A167" s="1880"/>
      <c r="B167" s="1881"/>
      <c r="C167" s="254">
        <v>2016</v>
      </c>
      <c r="D167" s="255"/>
      <c r="E167" s="255"/>
      <c r="F167" s="255"/>
      <c r="G167" s="255"/>
      <c r="H167" s="255"/>
      <c r="I167" s="256"/>
      <c r="J167" s="1684">
        <f t="shared" si="17"/>
        <v>0</v>
      </c>
      <c r="K167" s="408">
        <f t="shared" si="17"/>
        <v>0</v>
      </c>
    </row>
    <row r="168" spans="1:18">
      <c r="A168" s="1880"/>
      <c r="B168" s="1881"/>
      <c r="C168" s="254">
        <v>2017</v>
      </c>
      <c r="D168" s="255"/>
      <c r="E168" s="165"/>
      <c r="F168" s="255"/>
      <c r="G168" s="255"/>
      <c r="H168" s="255"/>
      <c r="I168" s="256"/>
      <c r="J168" s="1684">
        <f t="shared" si="17"/>
        <v>0</v>
      </c>
      <c r="K168" s="408">
        <f t="shared" si="17"/>
        <v>0</v>
      </c>
    </row>
    <row r="169" spans="1:18">
      <c r="A169" s="1880"/>
      <c r="B169" s="1881"/>
      <c r="C169" s="262">
        <v>2018</v>
      </c>
      <c r="D169" s="255"/>
      <c r="E169" s="255"/>
      <c r="F169" s="255"/>
      <c r="G169" s="263"/>
      <c r="H169" s="255"/>
      <c r="I169" s="256"/>
      <c r="J169" s="1684">
        <f t="shared" si="17"/>
        <v>0</v>
      </c>
      <c r="K169" s="408">
        <f t="shared" si="17"/>
        <v>0</v>
      </c>
      <c r="L169" s="1721"/>
    </row>
    <row r="170" spans="1:18">
      <c r="A170" s="1880"/>
      <c r="B170" s="1881"/>
      <c r="C170" s="254">
        <v>2019</v>
      </c>
      <c r="D170" s="165"/>
      <c r="E170" s="255"/>
      <c r="F170" s="255"/>
      <c r="G170" s="255"/>
      <c r="H170" s="263"/>
      <c r="I170" s="256"/>
      <c r="J170" s="1684">
        <f t="shared" si="17"/>
        <v>0</v>
      </c>
      <c r="K170" s="408">
        <f t="shared" si="17"/>
        <v>0</v>
      </c>
      <c r="L170" s="1721"/>
    </row>
    <row r="171" spans="1:18">
      <c r="A171" s="1880"/>
      <c r="B171" s="1881"/>
      <c r="C171" s="262">
        <v>2020</v>
      </c>
      <c r="D171" s="255"/>
      <c r="E171" s="255"/>
      <c r="F171" s="255"/>
      <c r="G171" s="255"/>
      <c r="H171" s="255"/>
      <c r="I171" s="256"/>
      <c r="J171" s="1684">
        <f t="shared" si="17"/>
        <v>0</v>
      </c>
      <c r="K171" s="408">
        <f t="shared" si="17"/>
        <v>0</v>
      </c>
      <c r="L171" s="172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72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503" t="s">
        <v>127</v>
      </c>
      <c r="B176" s="2585" t="s">
        <v>182</v>
      </c>
      <c r="C176" s="2590" t="s">
        <v>9</v>
      </c>
      <c r="D176" s="1762" t="s">
        <v>128</v>
      </c>
      <c r="E176" s="1685"/>
      <c r="F176" s="1685"/>
      <c r="G176" s="1686"/>
      <c r="H176" s="1763"/>
      <c r="I176" s="2392" t="s">
        <v>129</v>
      </c>
      <c r="J176" s="2591"/>
      <c r="K176" s="2591"/>
      <c r="L176" s="2591"/>
      <c r="M176" s="2591"/>
      <c r="N176" s="2591"/>
      <c r="O176" s="2394"/>
    </row>
    <row r="177" spans="1:15" s="56" customFormat="1" ht="129.75" customHeight="1">
      <c r="A177" s="2469"/>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395"/>
      <c r="B178" s="1899"/>
      <c r="C178" s="106">
        <v>2014</v>
      </c>
      <c r="D178" s="30"/>
      <c r="E178" s="31"/>
      <c r="F178" s="31"/>
      <c r="G178" s="284">
        <f>SUM(D178:F178)</f>
        <v>0</v>
      </c>
      <c r="H178" s="155"/>
      <c r="I178" s="155"/>
      <c r="J178" s="31"/>
      <c r="K178" s="31"/>
      <c r="L178" s="31"/>
      <c r="M178" s="31"/>
      <c r="N178" s="31"/>
      <c r="O178" s="34"/>
    </row>
    <row r="179" spans="1:15">
      <c r="A179" s="2395"/>
      <c r="B179" s="1899"/>
      <c r="C179" s="110">
        <v>2015</v>
      </c>
      <c r="D179" s="37"/>
      <c r="E179" s="38"/>
      <c r="F179" s="38"/>
      <c r="G179" s="284">
        <f t="shared" ref="G179:G184" si="19">SUM(D179:F179)</f>
        <v>0</v>
      </c>
      <c r="H179" s="411"/>
      <c r="I179" s="112"/>
      <c r="J179" s="38"/>
      <c r="K179" s="38"/>
      <c r="L179" s="38"/>
      <c r="M179" s="38"/>
      <c r="N179" s="38"/>
      <c r="O179" s="88"/>
    </row>
    <row r="180" spans="1:15">
      <c r="A180" s="2395"/>
      <c r="B180" s="1899"/>
      <c r="C180" s="110">
        <v>2016</v>
      </c>
      <c r="D180" s="37"/>
      <c r="E180" s="38"/>
      <c r="F180" s="38"/>
      <c r="G180" s="284">
        <f t="shared" si="19"/>
        <v>0</v>
      </c>
      <c r="H180" s="411"/>
      <c r="I180" s="112"/>
      <c r="J180" s="38"/>
      <c r="K180" s="38"/>
      <c r="L180" s="38"/>
      <c r="M180" s="38"/>
      <c r="N180" s="38"/>
      <c r="O180" s="88"/>
    </row>
    <row r="181" spans="1:15">
      <c r="A181" s="2395"/>
      <c r="B181" s="1899"/>
      <c r="C181" s="110">
        <v>2017</v>
      </c>
      <c r="D181" s="37"/>
      <c r="E181" s="38"/>
      <c r="F181" s="38"/>
      <c r="G181" s="284">
        <f t="shared" si="19"/>
        <v>0</v>
      </c>
      <c r="H181" s="411"/>
      <c r="I181" s="112"/>
      <c r="J181" s="38"/>
      <c r="K181" s="38"/>
      <c r="L181" s="38"/>
      <c r="M181" s="38"/>
      <c r="N181" s="38"/>
      <c r="O181" s="88"/>
    </row>
    <row r="182" spans="1:15">
      <c r="A182" s="2395"/>
      <c r="B182" s="1899"/>
      <c r="C182" s="110">
        <v>2018</v>
      </c>
      <c r="D182" s="37"/>
      <c r="E182" s="38"/>
      <c r="F182" s="38"/>
      <c r="G182" s="284">
        <f t="shared" si="19"/>
        <v>0</v>
      </c>
      <c r="H182" s="411"/>
      <c r="I182" s="112"/>
      <c r="J182" s="38"/>
      <c r="K182" s="38"/>
      <c r="L182" s="38"/>
      <c r="M182" s="38"/>
      <c r="N182" s="38"/>
      <c r="O182" s="88"/>
    </row>
    <row r="183" spans="1:15">
      <c r="A183" s="2395"/>
      <c r="B183" s="1899"/>
      <c r="C183" s="110">
        <v>2019</v>
      </c>
      <c r="D183" s="37"/>
      <c r="E183" s="38"/>
      <c r="F183" s="38"/>
      <c r="G183" s="284">
        <f t="shared" si="19"/>
        <v>0</v>
      </c>
      <c r="H183" s="411"/>
      <c r="I183" s="112"/>
      <c r="J183" s="38"/>
      <c r="K183" s="38"/>
      <c r="L183" s="38"/>
      <c r="M183" s="38"/>
      <c r="N183" s="38"/>
      <c r="O183" s="88"/>
    </row>
    <row r="184" spans="1:15">
      <c r="A184" s="2395"/>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0</v>
      </c>
      <c r="E185" s="116">
        <f>SUM(E178:E184)</f>
        <v>0</v>
      </c>
      <c r="F185" s="116">
        <f>SUM(F178:F184)</f>
        <v>0</v>
      </c>
      <c r="G185" s="220">
        <f t="shared" ref="G185:O185" si="20">SUM(G178:G184)</f>
        <v>0</v>
      </c>
      <c r="H185" s="285">
        <f t="shared" si="20"/>
        <v>0</v>
      </c>
      <c r="I185" s="115">
        <f t="shared" si="20"/>
        <v>0</v>
      </c>
      <c r="J185" s="116">
        <f t="shared" si="20"/>
        <v>0</v>
      </c>
      <c r="K185" s="116">
        <f t="shared" si="20"/>
        <v>0</v>
      </c>
      <c r="L185" s="116">
        <f t="shared" si="20"/>
        <v>0</v>
      </c>
      <c r="M185" s="116">
        <f t="shared" si="20"/>
        <v>0</v>
      </c>
      <c r="N185" s="116">
        <f t="shared" si="20"/>
        <v>0</v>
      </c>
      <c r="O185" s="117">
        <f t="shared" si="20"/>
        <v>0</v>
      </c>
    </row>
    <row r="186" spans="1:15" ht="33" customHeight="1" thickBot="1"/>
    <row r="187" spans="1:15" ht="19.5" customHeight="1">
      <c r="A187" s="2379" t="s">
        <v>137</v>
      </c>
      <c r="B187" s="2585" t="s">
        <v>182</v>
      </c>
      <c r="C187" s="1865" t="s">
        <v>9</v>
      </c>
      <c r="D187" s="1867" t="s">
        <v>138</v>
      </c>
      <c r="E187" s="2586"/>
      <c r="F187" s="2586"/>
      <c r="G187" s="2382"/>
      <c r="H187" s="2383"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c r="B189" s="1977"/>
      <c r="C189" s="290">
        <v>2014</v>
      </c>
      <c r="D189" s="133"/>
      <c r="E189" s="109"/>
      <c r="F189" s="109"/>
      <c r="G189" s="291">
        <f>SUM(D189:F189)</f>
        <v>0</v>
      </c>
      <c r="H189" s="108"/>
      <c r="I189" s="109"/>
      <c r="J189" s="109"/>
      <c r="K189" s="109"/>
      <c r="L189" s="134"/>
    </row>
    <row r="190" spans="1:15">
      <c r="A190" s="2502"/>
      <c r="B190" s="1855"/>
      <c r="C190" s="73">
        <v>2015</v>
      </c>
      <c r="D190" s="37"/>
      <c r="E190" s="38"/>
      <c r="F190" s="38"/>
      <c r="G190" s="291">
        <f>SUM(D190:F190)</f>
        <v>0</v>
      </c>
      <c r="H190" s="112"/>
      <c r="I190" s="38"/>
      <c r="J190" s="38"/>
      <c r="K190" s="38"/>
      <c r="L190" s="88"/>
    </row>
    <row r="191" spans="1:15">
      <c r="A191" s="2502"/>
      <c r="B191" s="1855"/>
      <c r="C191" s="73">
        <v>2016</v>
      </c>
      <c r="D191" s="37"/>
      <c r="E191" s="38"/>
      <c r="F191" s="38"/>
      <c r="G191" s="291">
        <f t="shared" ref="G191:G195" si="21">SUM(D191:F191)</f>
        <v>0</v>
      </c>
      <c r="H191" s="112"/>
      <c r="I191" s="38"/>
      <c r="J191" s="38"/>
      <c r="K191" s="38"/>
      <c r="L191" s="88"/>
    </row>
    <row r="192" spans="1:15">
      <c r="A192" s="2502"/>
      <c r="B192" s="1855"/>
      <c r="C192" s="73">
        <v>2017</v>
      </c>
      <c r="D192" s="37"/>
      <c r="E192" s="38"/>
      <c r="F192" s="38"/>
      <c r="G192" s="291">
        <f t="shared" si="21"/>
        <v>0</v>
      </c>
      <c r="H192" s="112"/>
      <c r="I192" s="38"/>
      <c r="J192" s="38"/>
      <c r="K192" s="38"/>
      <c r="L192" s="88"/>
    </row>
    <row r="193" spans="1:14">
      <c r="A193" s="2502"/>
      <c r="B193" s="1855"/>
      <c r="C193" s="73">
        <v>2018</v>
      </c>
      <c r="D193" s="37"/>
      <c r="E193" s="38"/>
      <c r="F193" s="38"/>
      <c r="G193" s="291">
        <f t="shared" si="21"/>
        <v>0</v>
      </c>
      <c r="H193" s="112"/>
      <c r="I193" s="38"/>
      <c r="J193" s="38"/>
      <c r="K193" s="38"/>
      <c r="L193" s="88"/>
    </row>
    <row r="194" spans="1:14">
      <c r="A194" s="2502"/>
      <c r="B194" s="1855"/>
      <c r="C194" s="73">
        <v>2019</v>
      </c>
      <c r="D194" s="37"/>
      <c r="E194" s="38"/>
      <c r="F194" s="38"/>
      <c r="G194" s="291">
        <f t="shared" si="21"/>
        <v>0</v>
      </c>
      <c r="H194" s="112"/>
      <c r="I194" s="38"/>
      <c r="J194" s="38"/>
      <c r="K194" s="38"/>
      <c r="L194" s="88"/>
    </row>
    <row r="195" spans="1:14">
      <c r="A195" s="2502"/>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0</v>
      </c>
      <c r="E196" s="116">
        <f t="shared" si="22"/>
        <v>0</v>
      </c>
      <c r="F196" s="116">
        <f t="shared" si="22"/>
        <v>0</v>
      </c>
      <c r="G196" s="292">
        <f t="shared" si="22"/>
        <v>0</v>
      </c>
      <c r="H196" s="115">
        <f t="shared" si="22"/>
        <v>0</v>
      </c>
      <c r="I196" s="116">
        <f t="shared" si="22"/>
        <v>0</v>
      </c>
      <c r="J196" s="116"/>
      <c r="K196" s="116">
        <f t="shared" si="22"/>
        <v>0</v>
      </c>
      <c r="L196" s="117">
        <f t="shared" si="22"/>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773" t="s">
        <v>150</v>
      </c>
      <c r="B201" s="417" t="s">
        <v>182</v>
      </c>
      <c r="C201" s="298" t="s">
        <v>9</v>
      </c>
      <c r="D201" s="1764" t="s">
        <v>151</v>
      </c>
      <c r="E201" s="300" t="s">
        <v>152</v>
      </c>
      <c r="F201" s="300" t="s">
        <v>153</v>
      </c>
      <c r="G201" s="298" t="s">
        <v>154</v>
      </c>
      <c r="H201" s="1688" t="s">
        <v>155</v>
      </c>
      <c r="I201" s="1765" t="s">
        <v>156</v>
      </c>
      <c r="J201" s="1766" t="s">
        <v>157</v>
      </c>
      <c r="K201" s="300" t="s">
        <v>158</v>
      </c>
      <c r="L201" s="304" t="s">
        <v>159</v>
      </c>
    </row>
    <row r="202" spans="1:14" ht="15" customHeight="1">
      <c r="A202" s="2378"/>
      <c r="B202" s="1855"/>
      <c r="C202" s="72">
        <v>2014</v>
      </c>
      <c r="D202" s="30"/>
      <c r="E202" s="31"/>
      <c r="F202" s="31"/>
      <c r="G202" s="29"/>
      <c r="H202" s="305"/>
      <c r="I202" s="306"/>
      <c r="J202" s="307"/>
      <c r="K202" s="31"/>
      <c r="L202" s="34"/>
    </row>
    <row r="203" spans="1:14">
      <c r="A203" s="2378"/>
      <c r="B203" s="1855"/>
      <c r="C203" s="73">
        <v>2015</v>
      </c>
      <c r="D203" s="37"/>
      <c r="E203" s="38"/>
      <c r="F203" s="38"/>
      <c r="G203" s="36"/>
      <c r="H203" s="308"/>
      <c r="I203" s="309"/>
      <c r="J203" s="310"/>
      <c r="K203" s="38"/>
      <c r="L203" s="88"/>
    </row>
    <row r="204" spans="1:14">
      <c r="A204" s="2378"/>
      <c r="B204" s="1855"/>
      <c r="C204" s="73">
        <v>2016</v>
      </c>
      <c r="D204" s="37"/>
      <c r="E204" s="38"/>
      <c r="F204" s="38"/>
      <c r="G204" s="36"/>
      <c r="H204" s="308"/>
      <c r="I204" s="309"/>
      <c r="J204" s="310"/>
      <c r="K204" s="38"/>
      <c r="L204" s="88"/>
    </row>
    <row r="205" spans="1:14">
      <c r="A205" s="2378"/>
      <c r="B205" s="1855"/>
      <c r="C205" s="73">
        <v>2017</v>
      </c>
      <c r="D205" s="37"/>
      <c r="E205" s="38"/>
      <c r="F205" s="38"/>
      <c r="G205" s="36"/>
      <c r="H205" s="308"/>
      <c r="I205" s="309"/>
      <c r="J205" s="310"/>
      <c r="K205" s="38"/>
      <c r="L205" s="88"/>
    </row>
    <row r="206" spans="1:14">
      <c r="A206" s="2378"/>
      <c r="B206" s="1855"/>
      <c r="C206" s="73">
        <v>2018</v>
      </c>
      <c r="D206" s="37"/>
      <c r="E206" s="38"/>
      <c r="F206" s="38"/>
      <c r="G206" s="36"/>
      <c r="H206" s="308"/>
      <c r="I206" s="309"/>
      <c r="J206" s="310"/>
      <c r="K206" s="38"/>
      <c r="L206" s="88"/>
    </row>
    <row r="207" spans="1:14">
      <c r="A207" s="2378"/>
      <c r="B207" s="1855"/>
      <c r="C207" s="73">
        <v>2019</v>
      </c>
      <c r="D207" s="37"/>
      <c r="E207" s="38"/>
      <c r="F207" s="38"/>
      <c r="G207" s="36"/>
      <c r="H207" s="308"/>
      <c r="I207" s="309"/>
      <c r="J207" s="310"/>
      <c r="K207" s="38"/>
      <c r="L207" s="88"/>
    </row>
    <row r="208" spans="1:14">
      <c r="A208" s="2378"/>
      <c r="B208" s="1855"/>
      <c r="C208" s="73">
        <v>2020</v>
      </c>
      <c r="D208" s="1743"/>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1774" t="s">
        <v>161</v>
      </c>
      <c r="B212" s="322" t="s">
        <v>162</v>
      </c>
      <c r="C212" s="323">
        <v>2014</v>
      </c>
      <c r="D212" s="324">
        <v>2015</v>
      </c>
      <c r="E212" s="324">
        <v>2016</v>
      </c>
      <c r="F212" s="324">
        <v>2017</v>
      </c>
      <c r="G212" s="324">
        <v>2018</v>
      </c>
      <c r="H212" s="324">
        <v>2019</v>
      </c>
      <c r="I212" s="325">
        <v>2020</v>
      </c>
    </row>
    <row r="213" spans="1:12" ht="15" customHeight="1">
      <c r="A213" t="s">
        <v>163</v>
      </c>
      <c r="B213" s="2430" t="s">
        <v>582</v>
      </c>
      <c r="C213" s="72"/>
      <c r="D213" s="135">
        <v>9038.73</v>
      </c>
      <c r="E213" s="328">
        <f>SUM(E214:E217)</f>
        <v>278612.58</v>
      </c>
      <c r="F213" s="135">
        <v>108765.47</v>
      </c>
      <c r="G213" s="135"/>
      <c r="H213" s="135"/>
      <c r="I213" s="326"/>
      <c r="J213" s="327"/>
    </row>
    <row r="214" spans="1:12">
      <c r="A214" t="s">
        <v>164</v>
      </c>
      <c r="B214" s="1974"/>
      <c r="C214" s="72"/>
      <c r="D214" s="135">
        <v>9038.73</v>
      </c>
      <c r="E214" s="328">
        <v>278612.58</v>
      </c>
      <c r="F214" s="135">
        <v>108765.47</v>
      </c>
      <c r="G214" s="135"/>
      <c r="H214" s="135"/>
      <c r="I214" s="326"/>
    </row>
    <row r="215" spans="1:12">
      <c r="A215" t="s">
        <v>165</v>
      </c>
      <c r="B215" s="1974"/>
      <c r="C215" s="72"/>
      <c r="D215" s="135"/>
      <c r="E215" s="135"/>
      <c r="F215" s="135"/>
      <c r="G215" s="135"/>
      <c r="H215" s="135"/>
      <c r="I215" s="326"/>
      <c r="J215" s="327"/>
    </row>
    <row r="216" spans="1:12">
      <c r="A216" t="s">
        <v>166</v>
      </c>
      <c r="B216" s="1974"/>
      <c r="C216" s="72"/>
      <c r="D216" s="135"/>
      <c r="E216" s="135"/>
      <c r="F216" s="135"/>
      <c r="G216" s="135"/>
      <c r="H216" s="135"/>
      <c r="I216" s="326"/>
    </row>
    <row r="217" spans="1:12">
      <c r="A217" t="s">
        <v>167</v>
      </c>
      <c r="B217" s="1974"/>
      <c r="C217" s="72"/>
      <c r="D217" s="135"/>
      <c r="E217" s="135"/>
      <c r="F217" s="135"/>
      <c r="G217" s="135"/>
      <c r="H217" s="135"/>
      <c r="I217" s="326"/>
    </row>
    <row r="218" spans="1:12" ht="30">
      <c r="A218" s="56" t="s">
        <v>168</v>
      </c>
      <c r="B218" s="1974"/>
      <c r="C218" s="72"/>
      <c r="D218" s="1775">
        <v>100000</v>
      </c>
      <c r="E218" s="1776">
        <v>89706.14</v>
      </c>
      <c r="F218" s="135">
        <v>89844.62</v>
      </c>
      <c r="G218" s="135"/>
      <c r="H218" s="135"/>
      <c r="I218" s="326"/>
    </row>
    <row r="219" spans="1:12" ht="15.75" thickBot="1">
      <c r="A219" s="1742"/>
      <c r="B219" s="1975"/>
      <c r="C219" s="42" t="s">
        <v>13</v>
      </c>
      <c r="D219" s="332">
        <f>D218+D213</f>
        <v>109038.73</v>
      </c>
      <c r="E219" s="333">
        <f t="shared" ref="E219:I219" si="24">SUM(E214:E218)</f>
        <v>368318.72000000003</v>
      </c>
      <c r="F219" s="333">
        <f t="shared" si="24"/>
        <v>198610.09</v>
      </c>
      <c r="G219" s="333">
        <f t="shared" si="24"/>
        <v>0</v>
      </c>
      <c r="H219" s="333">
        <f t="shared" si="24"/>
        <v>0</v>
      </c>
      <c r="I219" s="333">
        <f t="shared" si="24"/>
        <v>0</v>
      </c>
    </row>
    <row r="222" spans="1:12">
      <c r="D222" s="327">
        <f>D219+E219+F219</f>
        <v>675967.54</v>
      </c>
    </row>
    <row r="227" spans="1:1">
      <c r="A227" s="56"/>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7"/>
  <sheetViews>
    <sheetView topLeftCell="A13"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19" width="13.7109375" customWidth="1"/>
    <col min="20" max="20" width="20.7109375" customWidth="1"/>
    <col min="21" max="25" width="13.7109375" customWidth="1"/>
  </cols>
  <sheetData>
    <row r="1" spans="1:25" s="1" customFormat="1" ht="31.5">
      <c r="A1" s="334" t="s">
        <v>0</v>
      </c>
      <c r="B1" s="1943" t="s">
        <v>536</v>
      </c>
      <c r="C1" s="1944"/>
      <c r="D1" s="1944"/>
      <c r="E1" s="1944"/>
      <c r="F1" s="1944"/>
      <c r="G1" s="2433"/>
      <c r="H1" s="2433"/>
      <c r="I1" s="2433"/>
      <c r="J1" s="2433"/>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685">
        <v>38</v>
      </c>
      <c r="B17" s="2689"/>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685"/>
      <c r="B18" s="2689"/>
      <c r="C18" s="36">
        <v>2015</v>
      </c>
      <c r="D18" s="37">
        <v>1</v>
      </c>
      <c r="E18" s="38"/>
      <c r="F18" s="38"/>
      <c r="G18" s="32">
        <f>SUM(D18:F18)</f>
        <v>1</v>
      </c>
      <c r="H18" s="39">
        <v>1</v>
      </c>
      <c r="I18" s="38"/>
      <c r="J18" s="38"/>
      <c r="K18" s="38"/>
      <c r="L18" s="38"/>
      <c r="M18" s="38"/>
      <c r="N18" s="38"/>
      <c r="O18" s="40"/>
      <c r="P18" s="35"/>
      <c r="Q18" s="35"/>
      <c r="R18" s="35"/>
      <c r="S18" s="35"/>
      <c r="T18" s="35"/>
      <c r="U18" s="35"/>
      <c r="V18" s="35"/>
      <c r="W18" s="35"/>
      <c r="X18" s="35"/>
      <c r="Y18" s="35"/>
    </row>
    <row r="19" spans="1:25">
      <c r="A19" s="2685"/>
      <c r="B19" s="2689"/>
      <c r="C19" s="36">
        <v>2016</v>
      </c>
      <c r="D19" s="37">
        <v>32</v>
      </c>
      <c r="E19" s="38"/>
      <c r="F19" s="38"/>
      <c r="G19" s="32">
        <f t="shared" si="0"/>
        <v>32</v>
      </c>
      <c r="H19" s="39">
        <v>32</v>
      </c>
      <c r="I19" s="38"/>
      <c r="J19" s="38"/>
      <c r="K19" s="38"/>
      <c r="L19" s="38"/>
      <c r="M19" s="38"/>
      <c r="N19" s="38"/>
      <c r="O19" s="40"/>
      <c r="P19" s="35"/>
      <c r="Q19" s="35"/>
      <c r="R19" s="35"/>
      <c r="S19" s="35"/>
      <c r="T19" s="35"/>
      <c r="U19" s="35"/>
      <c r="V19" s="35"/>
      <c r="W19" s="35"/>
      <c r="X19" s="35"/>
      <c r="Y19" s="35"/>
    </row>
    <row r="20" spans="1:25">
      <c r="A20" s="2685"/>
      <c r="B20" s="2689"/>
      <c r="C20" s="36">
        <v>2017</v>
      </c>
      <c r="D20" s="37">
        <v>5</v>
      </c>
      <c r="E20" s="38"/>
      <c r="F20" s="38"/>
      <c r="G20" s="32">
        <f t="shared" si="0"/>
        <v>5</v>
      </c>
      <c r="H20" s="39">
        <v>5</v>
      </c>
      <c r="I20" s="38"/>
      <c r="J20" s="38"/>
      <c r="K20" s="38"/>
      <c r="L20" s="38"/>
      <c r="M20" s="38"/>
      <c r="N20" s="38"/>
      <c r="O20" s="40"/>
      <c r="P20" s="35"/>
      <c r="Q20" s="35"/>
      <c r="R20" s="35"/>
      <c r="S20" s="35"/>
      <c r="T20" s="35"/>
      <c r="U20" s="35"/>
      <c r="V20" s="35"/>
      <c r="W20" s="35"/>
      <c r="X20" s="35"/>
      <c r="Y20" s="35"/>
    </row>
    <row r="21" spans="1:25">
      <c r="A21" s="2685"/>
      <c r="B21" s="2689"/>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685"/>
      <c r="B22" s="2689"/>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685"/>
      <c r="B23" s="2689"/>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2690"/>
      <c r="B24" s="2691"/>
      <c r="C24" s="42" t="s">
        <v>13</v>
      </c>
      <c r="D24" s="43">
        <f>SUM(D17:D23)</f>
        <v>38</v>
      </c>
      <c r="E24" s="44">
        <f>SUM(E17:E23)</f>
        <v>0</v>
      </c>
      <c r="F24" s="44">
        <f>SUM(F17:F23)</f>
        <v>0</v>
      </c>
      <c r="G24" s="45">
        <f>SUM(D24:F24)</f>
        <v>38</v>
      </c>
      <c r="H24" s="46">
        <f>SUM(H17:H23)</f>
        <v>38</v>
      </c>
      <c r="I24" s="47">
        <f>SUM(I17:I23)</f>
        <v>0</v>
      </c>
      <c r="J24" s="47">
        <f t="shared" ref="J24:N24" si="1">SUM(J17:J23)</f>
        <v>0</v>
      </c>
      <c r="K24" s="47">
        <f t="shared" si="1"/>
        <v>0</v>
      </c>
      <c r="L24" s="47">
        <f t="shared" si="1"/>
        <v>0</v>
      </c>
      <c r="M24" s="47">
        <f t="shared" si="1"/>
        <v>0</v>
      </c>
      <c r="N24" s="47">
        <f t="shared" si="1"/>
        <v>0</v>
      </c>
      <c r="O24" s="48">
        <f>SUM(O17:O23)</f>
        <v>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685">
        <v>1600</v>
      </c>
      <c r="B28" s="1881" t="s">
        <v>537</v>
      </c>
      <c r="C28" s="57">
        <v>2014</v>
      </c>
      <c r="D28" s="33"/>
      <c r="E28" s="31"/>
      <c r="F28" s="31"/>
      <c r="G28" s="58">
        <f>SUM(D28:F28)</f>
        <v>0</v>
      </c>
      <c r="H28" s="35"/>
      <c r="I28" s="35"/>
      <c r="J28" s="35"/>
      <c r="K28" s="35"/>
      <c r="L28" s="35"/>
      <c r="M28" s="35"/>
      <c r="N28" s="35"/>
      <c r="O28" s="35"/>
      <c r="P28" s="35"/>
      <c r="Q28" s="7"/>
    </row>
    <row r="29" spans="1:25">
      <c r="A29" s="2686"/>
      <c r="B29" s="1881"/>
      <c r="C29" s="59">
        <v>2015</v>
      </c>
      <c r="D29" s="39">
        <v>70</v>
      </c>
      <c r="E29" s="38"/>
      <c r="F29" s="38"/>
      <c r="G29" s="58">
        <f t="shared" ref="G29:G35" si="2">SUM(D29:F29)</f>
        <v>70</v>
      </c>
      <c r="H29" s="35"/>
      <c r="I29" s="35"/>
      <c r="J29" s="35"/>
      <c r="K29" s="35"/>
      <c r="L29" s="35"/>
      <c r="M29" s="35"/>
      <c r="N29" s="35"/>
      <c r="O29" s="35"/>
      <c r="P29" s="35"/>
      <c r="Q29" s="7"/>
    </row>
    <row r="30" spans="1:25">
      <c r="A30" s="2686"/>
      <c r="B30" s="1881"/>
      <c r="C30" s="59">
        <v>2016</v>
      </c>
      <c r="D30" s="39">
        <v>1080</v>
      </c>
      <c r="E30" s="38"/>
      <c r="F30" s="38"/>
      <c r="G30" s="58">
        <f t="shared" si="2"/>
        <v>1080</v>
      </c>
      <c r="H30" s="35"/>
      <c r="I30" s="35"/>
      <c r="J30" s="35"/>
      <c r="K30" s="35"/>
      <c r="L30" s="35"/>
      <c r="M30" s="35"/>
      <c r="N30" s="35"/>
      <c r="O30" s="35"/>
      <c r="P30" s="35"/>
      <c r="Q30" s="7"/>
    </row>
    <row r="31" spans="1:25">
      <c r="A31" s="2686"/>
      <c r="B31" s="1881"/>
      <c r="C31" s="59">
        <v>2017</v>
      </c>
      <c r="D31" s="39">
        <v>450</v>
      </c>
      <c r="E31" s="38"/>
      <c r="F31" s="38"/>
      <c r="G31" s="58">
        <f t="shared" si="2"/>
        <v>450</v>
      </c>
      <c r="H31" s="35"/>
      <c r="I31" s="35"/>
      <c r="J31" s="35"/>
      <c r="K31" s="35"/>
      <c r="L31" s="35"/>
      <c r="M31" s="35"/>
      <c r="N31" s="35"/>
      <c r="O31" s="35"/>
      <c r="P31" s="35"/>
      <c r="Q31" s="7"/>
    </row>
    <row r="32" spans="1:25">
      <c r="A32" s="2686"/>
      <c r="B32" s="1881"/>
      <c r="C32" s="59">
        <v>2018</v>
      </c>
      <c r="D32" s="39"/>
      <c r="E32" s="38"/>
      <c r="F32" s="38"/>
      <c r="G32" s="58">
        <f>SUM(D32:F32)</f>
        <v>0</v>
      </c>
      <c r="H32" s="35"/>
      <c r="I32" s="35"/>
      <c r="J32" s="35"/>
      <c r="K32" s="35"/>
      <c r="L32" s="35"/>
      <c r="M32" s="35"/>
      <c r="N32" s="35"/>
      <c r="O32" s="35"/>
      <c r="P32" s="35"/>
      <c r="Q32" s="7"/>
    </row>
    <row r="33" spans="1:17">
      <c r="A33" s="2686"/>
      <c r="B33" s="1881"/>
      <c r="C33" s="60">
        <v>2019</v>
      </c>
      <c r="D33" s="39"/>
      <c r="E33" s="38"/>
      <c r="F33" s="38"/>
      <c r="G33" s="58">
        <f t="shared" si="2"/>
        <v>0</v>
      </c>
      <c r="H33" s="35"/>
      <c r="I33" s="35"/>
      <c r="J33" s="35"/>
      <c r="K33" s="35"/>
      <c r="L33" s="35"/>
      <c r="M33" s="35"/>
      <c r="N33" s="35"/>
      <c r="O33" s="35"/>
      <c r="P33" s="35"/>
      <c r="Q33" s="7"/>
    </row>
    <row r="34" spans="1:17">
      <c r="A34" s="2686"/>
      <c r="B34" s="1881"/>
      <c r="C34" s="59">
        <v>2020</v>
      </c>
      <c r="D34" s="39"/>
      <c r="E34" s="38"/>
      <c r="F34" s="38"/>
      <c r="G34" s="58">
        <f t="shared" si="2"/>
        <v>0</v>
      </c>
      <c r="H34" s="35"/>
      <c r="I34" s="35"/>
      <c r="J34" s="35"/>
      <c r="K34" s="35"/>
      <c r="L34" s="35"/>
      <c r="M34" s="35"/>
      <c r="N34" s="35"/>
      <c r="O34" s="35"/>
      <c r="P34" s="35"/>
      <c r="Q34" s="7"/>
    </row>
    <row r="35" spans="1:17" ht="126.75" customHeight="1" thickBot="1">
      <c r="A35" s="1980"/>
      <c r="B35" s="1883"/>
      <c r="C35" s="61" t="s">
        <v>13</v>
      </c>
      <c r="D35" s="46">
        <f>SUM(D28:D34)</f>
        <v>1600</v>
      </c>
      <c r="E35" s="44">
        <f>SUM(E28:E34)</f>
        <v>0</v>
      </c>
      <c r="F35" s="44">
        <f>SUM(F28:F34)</f>
        <v>0</v>
      </c>
      <c r="G35" s="48">
        <f t="shared" si="2"/>
        <v>1600</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t="s">
        <v>538</v>
      </c>
      <c r="C40" s="72">
        <v>2014</v>
      </c>
      <c r="D40" s="30"/>
      <c r="E40" s="29"/>
      <c r="F40" s="7"/>
      <c r="G40" s="35"/>
      <c r="H40" s="35"/>
    </row>
    <row r="41" spans="1:17">
      <c r="A41" s="2687"/>
      <c r="B41" s="1855"/>
      <c r="C41" s="73">
        <v>2015</v>
      </c>
      <c r="D41" s="37"/>
      <c r="E41" s="36"/>
      <c r="F41" s="7"/>
      <c r="G41" s="35"/>
      <c r="H41" s="35"/>
    </row>
    <row r="42" spans="1:17">
      <c r="A42" s="2687"/>
      <c r="B42" s="1855"/>
      <c r="C42" s="73">
        <v>2016</v>
      </c>
      <c r="D42" s="37"/>
      <c r="E42" s="36"/>
      <c r="F42" s="7"/>
      <c r="G42" s="35"/>
      <c r="H42" s="35"/>
    </row>
    <row r="43" spans="1:17">
      <c r="A43" s="2687"/>
      <c r="B43" s="1855"/>
      <c r="C43" s="73">
        <v>2017</v>
      </c>
      <c r="D43" s="37"/>
      <c r="E43" s="36"/>
      <c r="F43" s="7"/>
      <c r="G43" s="35"/>
      <c r="H43" s="35"/>
    </row>
    <row r="44" spans="1:17">
      <c r="A44" s="2687"/>
      <c r="B44" s="1855"/>
      <c r="C44" s="73">
        <v>2018</v>
      </c>
      <c r="D44" s="37"/>
      <c r="E44" s="36"/>
      <c r="F44" s="7"/>
      <c r="G44" s="35"/>
      <c r="H44" s="35"/>
    </row>
    <row r="45" spans="1:17">
      <c r="A45" s="2687"/>
      <c r="B45" s="1855"/>
      <c r="C45" s="73">
        <v>2019</v>
      </c>
      <c r="D45" s="37"/>
      <c r="E45" s="36"/>
      <c r="F45" s="7"/>
      <c r="G45" s="35"/>
      <c r="H45" s="35"/>
    </row>
    <row r="46" spans="1:17">
      <c r="A46" s="2687"/>
      <c r="B46" s="1855"/>
      <c r="C46" s="73">
        <v>2020</v>
      </c>
      <c r="D46" s="37"/>
      <c r="E46" s="36"/>
      <c r="F46" s="7"/>
      <c r="G46" s="35"/>
      <c r="H46" s="35"/>
    </row>
    <row r="47" spans="1:17" ht="15.75" thickBot="1">
      <c r="A47" s="2688"/>
      <c r="B47" s="1857"/>
      <c r="C47" s="42" t="s">
        <v>13</v>
      </c>
      <c r="D47" s="43">
        <f>SUM(D40:D46)</f>
        <v>0</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t="s">
        <v>539</v>
      </c>
      <c r="C50" s="87" t="s">
        <v>43</v>
      </c>
      <c r="D50" s="30"/>
      <c r="E50" s="31"/>
      <c r="F50" s="31"/>
      <c r="G50" s="31"/>
      <c r="H50" s="31"/>
      <c r="I50" s="31"/>
      <c r="J50" s="31"/>
      <c r="K50" s="34"/>
    </row>
    <row r="51" spans="1:15" ht="15" customHeight="1">
      <c r="A51" s="2687"/>
      <c r="B51" s="1881"/>
      <c r="C51" s="73">
        <v>2014</v>
      </c>
      <c r="D51" s="37"/>
      <c r="E51" s="38"/>
      <c r="F51" s="38"/>
      <c r="G51" s="38"/>
      <c r="H51" s="38"/>
      <c r="I51" s="38"/>
      <c r="J51" s="38"/>
      <c r="K51" s="88"/>
    </row>
    <row r="52" spans="1:15">
      <c r="A52" s="2687"/>
      <c r="B52" s="1881"/>
      <c r="C52" s="73">
        <v>2015</v>
      </c>
      <c r="D52" s="37"/>
      <c r="E52" s="38"/>
      <c r="F52" s="38"/>
      <c r="G52" s="38"/>
      <c r="H52" s="38"/>
      <c r="I52" s="38"/>
      <c r="J52" s="38"/>
      <c r="K52" s="88"/>
    </row>
    <row r="53" spans="1:15">
      <c r="A53" s="2687"/>
      <c r="B53" s="1881"/>
      <c r="C53" s="73">
        <v>2016</v>
      </c>
      <c r="D53" s="37"/>
      <c r="E53" s="38"/>
      <c r="F53" s="38"/>
      <c r="G53" s="38"/>
      <c r="H53" s="38"/>
      <c r="I53" s="38"/>
      <c r="J53" s="38"/>
      <c r="K53" s="88"/>
    </row>
    <row r="54" spans="1:15">
      <c r="A54" s="2687"/>
      <c r="B54" s="1881"/>
      <c r="C54" s="73">
        <v>2017</v>
      </c>
      <c r="D54" s="37"/>
      <c r="E54" s="38"/>
      <c r="F54" s="38"/>
      <c r="G54" s="38"/>
      <c r="H54" s="38"/>
      <c r="I54" s="38"/>
      <c r="J54" s="38"/>
      <c r="K54" s="88"/>
    </row>
    <row r="55" spans="1:15">
      <c r="A55" s="2687"/>
      <c r="B55" s="1881"/>
      <c r="C55" s="73">
        <v>2018</v>
      </c>
      <c r="D55" s="37"/>
      <c r="E55" s="38"/>
      <c r="F55" s="38"/>
      <c r="G55" s="38"/>
      <c r="H55" s="38"/>
      <c r="I55" s="38"/>
      <c r="J55" s="38"/>
      <c r="K55" s="88"/>
    </row>
    <row r="56" spans="1:15">
      <c r="A56" s="2687"/>
      <c r="B56" s="1881"/>
      <c r="C56" s="73">
        <v>2019</v>
      </c>
      <c r="D56" s="37"/>
      <c r="E56" s="38"/>
      <c r="F56" s="38"/>
      <c r="G56" s="38"/>
      <c r="H56" s="38"/>
      <c r="I56" s="38"/>
      <c r="J56" s="38"/>
      <c r="K56" s="88"/>
    </row>
    <row r="57" spans="1:15">
      <c r="A57" s="2687"/>
      <c r="B57" s="1881"/>
      <c r="C57" s="73">
        <v>2020</v>
      </c>
      <c r="D57" s="37"/>
      <c r="E57" s="38"/>
      <c r="F57" s="38"/>
      <c r="G57" s="38"/>
      <c r="H57" s="38"/>
      <c r="I57" s="38"/>
      <c r="J57" s="38"/>
      <c r="K57" s="93"/>
    </row>
    <row r="58" spans="1:15" ht="20.25" customHeight="1" thickBot="1">
      <c r="A58" s="2688"/>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662">
        <v>10</v>
      </c>
      <c r="B62" s="1881" t="s">
        <v>540</v>
      </c>
      <c r="C62" s="106">
        <v>2014</v>
      </c>
      <c r="D62" s="107"/>
      <c r="E62" s="108"/>
      <c r="F62" s="109"/>
      <c r="G62" s="109"/>
      <c r="H62" s="109"/>
      <c r="I62" s="109"/>
      <c r="J62" s="109"/>
      <c r="K62" s="109"/>
      <c r="L62" s="34"/>
      <c r="M62" s="7"/>
      <c r="N62" s="7"/>
      <c r="O62" s="7"/>
    </row>
    <row r="63" spans="1:15">
      <c r="A63" s="2679"/>
      <c r="B63" s="1881"/>
      <c r="C63" s="110">
        <v>2015</v>
      </c>
      <c r="D63" s="111">
        <v>0</v>
      </c>
      <c r="E63" s="112">
        <v>0</v>
      </c>
      <c r="F63" s="38"/>
      <c r="G63" s="38"/>
      <c r="H63" s="38"/>
      <c r="I63" s="38"/>
      <c r="J63" s="38"/>
      <c r="K63" s="38"/>
      <c r="L63" s="88"/>
      <c r="M63" s="7"/>
      <c r="N63" s="7"/>
      <c r="O63" s="7"/>
    </row>
    <row r="64" spans="1:15">
      <c r="A64" s="2679"/>
      <c r="B64" s="1881"/>
      <c r="C64" s="110">
        <v>2016</v>
      </c>
      <c r="D64" s="111">
        <v>4</v>
      </c>
      <c r="E64" s="112">
        <v>4</v>
      </c>
      <c r="F64" s="38"/>
      <c r="G64" s="38"/>
      <c r="H64" s="38"/>
      <c r="I64" s="38"/>
      <c r="J64" s="38"/>
      <c r="K64" s="38"/>
      <c r="L64" s="88"/>
      <c r="M64" s="7"/>
      <c r="N64" s="7"/>
      <c r="O64" s="7"/>
    </row>
    <row r="65" spans="1:20">
      <c r="A65" s="2679"/>
      <c r="B65" s="1881"/>
      <c r="C65" s="110">
        <v>2017</v>
      </c>
      <c r="D65" s="111">
        <v>6</v>
      </c>
      <c r="E65" s="112">
        <v>6</v>
      </c>
      <c r="F65" s="38"/>
      <c r="G65" s="38"/>
      <c r="H65" s="38"/>
      <c r="I65" s="38"/>
      <c r="J65" s="38"/>
      <c r="K65" s="38"/>
      <c r="L65" s="88"/>
      <c r="M65" s="7"/>
      <c r="N65" s="7"/>
      <c r="O65" s="7"/>
    </row>
    <row r="66" spans="1:20">
      <c r="A66" s="2679"/>
      <c r="B66" s="1881"/>
      <c r="C66" s="110">
        <v>2018</v>
      </c>
      <c r="D66" s="111"/>
      <c r="E66" s="112"/>
      <c r="F66" s="38"/>
      <c r="G66" s="38"/>
      <c r="H66" s="38"/>
      <c r="I66" s="38"/>
      <c r="J66" s="38"/>
      <c r="K66" s="38"/>
      <c r="L66" s="88"/>
      <c r="M66" s="7"/>
      <c r="N66" s="7"/>
      <c r="O66" s="7"/>
    </row>
    <row r="67" spans="1:20" ht="17.25" customHeight="1">
      <c r="A67" s="2679"/>
      <c r="B67" s="1881"/>
      <c r="C67" s="110">
        <v>2019</v>
      </c>
      <c r="D67" s="111"/>
      <c r="E67" s="112"/>
      <c r="F67" s="38"/>
      <c r="G67" s="38"/>
      <c r="H67" s="38"/>
      <c r="I67" s="38"/>
      <c r="J67" s="38"/>
      <c r="K67" s="38"/>
      <c r="L67" s="88"/>
      <c r="M67" s="7"/>
      <c r="N67" s="7"/>
      <c r="O67" s="7"/>
    </row>
    <row r="68" spans="1:20" ht="16.5" customHeight="1">
      <c r="A68" s="2679"/>
      <c r="B68" s="1881"/>
      <c r="C68" s="110">
        <v>2020</v>
      </c>
      <c r="D68" s="111"/>
      <c r="E68" s="112"/>
      <c r="F68" s="38"/>
      <c r="G68" s="38"/>
      <c r="H68" s="38"/>
      <c r="I68" s="38"/>
      <c r="J68" s="38"/>
      <c r="K68" s="38"/>
      <c r="L68" s="88"/>
      <c r="M68" s="78"/>
      <c r="N68" s="78"/>
      <c r="O68" s="78"/>
    </row>
    <row r="69" spans="1:20" ht="18" customHeight="1" thickBot="1">
      <c r="A69" s="2664"/>
      <c r="B69" s="1883"/>
      <c r="C69" s="113" t="s">
        <v>13</v>
      </c>
      <c r="D69" s="114">
        <f>SUM(D62:D68)</f>
        <v>10</v>
      </c>
      <c r="E69" s="115">
        <f>SUM(E62:E68)</f>
        <v>10</v>
      </c>
      <c r="F69" s="116">
        <f t="shared" ref="F69:I69" si="4">SUM(F62:F68)</f>
        <v>0</v>
      </c>
      <c r="G69" s="116">
        <f t="shared" si="4"/>
        <v>0</v>
      </c>
      <c r="H69" s="116">
        <f t="shared" si="4"/>
        <v>0</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672">
        <v>0</v>
      </c>
      <c r="B72" s="2663"/>
      <c r="C72" s="72">
        <v>2014</v>
      </c>
      <c r="D72" s="131"/>
      <c r="E72" s="131"/>
      <c r="F72" s="131"/>
      <c r="G72" s="132">
        <f>SUM(D72:F72)</f>
        <v>0</v>
      </c>
      <c r="H72" s="30"/>
      <c r="I72" s="133"/>
      <c r="J72" s="109"/>
      <c r="K72" s="109"/>
      <c r="L72" s="109"/>
      <c r="M72" s="109"/>
      <c r="N72" s="109"/>
      <c r="O72" s="134"/>
    </row>
    <row r="73" spans="1:20">
      <c r="A73" s="2672"/>
      <c r="B73" s="2663"/>
      <c r="C73" s="73">
        <v>2015</v>
      </c>
      <c r="D73" s="135"/>
      <c r="E73" s="135"/>
      <c r="F73" s="135"/>
      <c r="G73" s="132">
        <f t="shared" ref="G73:G78" si="5">SUM(D73:F73)</f>
        <v>0</v>
      </c>
      <c r="H73" s="37"/>
      <c r="I73" s="37"/>
      <c r="J73" s="38"/>
      <c r="K73" s="38"/>
      <c r="L73" s="38"/>
      <c r="M73" s="38"/>
      <c r="N73" s="38"/>
      <c r="O73" s="88"/>
    </row>
    <row r="74" spans="1:20">
      <c r="A74" s="2672"/>
      <c r="B74" s="2663"/>
      <c r="C74" s="73">
        <v>2016</v>
      </c>
      <c r="D74" s="135"/>
      <c r="E74" s="135"/>
      <c r="F74" s="135"/>
      <c r="G74" s="132">
        <f t="shared" si="5"/>
        <v>0</v>
      </c>
      <c r="H74" s="37"/>
      <c r="I74" s="37"/>
      <c r="J74" s="38"/>
      <c r="K74" s="38"/>
      <c r="L74" s="38"/>
      <c r="M74" s="38"/>
      <c r="N74" s="38"/>
      <c r="O74" s="88"/>
    </row>
    <row r="75" spans="1:20">
      <c r="A75" s="2672"/>
      <c r="B75" s="2663"/>
      <c r="C75" s="73">
        <v>2017</v>
      </c>
      <c r="D75" s="135"/>
      <c r="E75" s="135"/>
      <c r="F75" s="135"/>
      <c r="G75" s="132">
        <f t="shared" si="5"/>
        <v>0</v>
      </c>
      <c r="H75" s="37"/>
      <c r="I75" s="37"/>
      <c r="J75" s="38"/>
      <c r="K75" s="38"/>
      <c r="L75" s="38"/>
      <c r="M75" s="38"/>
      <c r="N75" s="38"/>
      <c r="O75" s="88"/>
    </row>
    <row r="76" spans="1:20">
      <c r="A76" s="2672"/>
      <c r="B76" s="2663"/>
      <c r="C76" s="73">
        <v>2018</v>
      </c>
      <c r="D76" s="135"/>
      <c r="E76" s="135"/>
      <c r="F76" s="135"/>
      <c r="G76" s="132">
        <f t="shared" si="5"/>
        <v>0</v>
      </c>
      <c r="H76" s="37"/>
      <c r="I76" s="37"/>
      <c r="J76" s="38"/>
      <c r="K76" s="38"/>
      <c r="L76" s="38"/>
      <c r="M76" s="38"/>
      <c r="N76" s="38"/>
      <c r="O76" s="88"/>
    </row>
    <row r="77" spans="1:20" ht="15.75" customHeight="1">
      <c r="A77" s="2672"/>
      <c r="B77" s="2663"/>
      <c r="C77" s="73">
        <v>2019</v>
      </c>
      <c r="D77" s="135"/>
      <c r="E77" s="135"/>
      <c r="F77" s="135"/>
      <c r="G77" s="132">
        <f t="shared" si="5"/>
        <v>0</v>
      </c>
      <c r="H77" s="37"/>
      <c r="I77" s="37"/>
      <c r="J77" s="38"/>
      <c r="K77" s="38"/>
      <c r="L77" s="38"/>
      <c r="M77" s="38"/>
      <c r="N77" s="38"/>
      <c r="O77" s="88"/>
    </row>
    <row r="78" spans="1:20" ht="17.25" customHeight="1">
      <c r="A78" s="2672"/>
      <c r="B78" s="2663"/>
      <c r="C78" s="73">
        <v>2020</v>
      </c>
      <c r="D78" s="135"/>
      <c r="E78" s="135"/>
      <c r="F78" s="135"/>
      <c r="G78" s="132">
        <f t="shared" si="5"/>
        <v>0</v>
      </c>
      <c r="H78" s="37"/>
      <c r="I78" s="37"/>
      <c r="J78" s="38"/>
      <c r="K78" s="38"/>
      <c r="L78" s="38"/>
      <c r="M78" s="38"/>
      <c r="N78" s="38"/>
      <c r="O78" s="88"/>
    </row>
    <row r="79" spans="1:20" ht="20.25" customHeight="1" thickBot="1">
      <c r="A79" s="2664"/>
      <c r="B79" s="2665"/>
      <c r="C79" s="136" t="s">
        <v>13</v>
      </c>
      <c r="D79" s="114">
        <f>SUM(D72:D78)</f>
        <v>0</v>
      </c>
      <c r="E79" s="114">
        <f>SUM(E72:E78)</f>
        <v>0</v>
      </c>
      <c r="F79" s="114">
        <f>SUM(F72:F78)</f>
        <v>0</v>
      </c>
      <c r="G79" s="137">
        <f>SUM(G72:G78)</f>
        <v>0</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2680">
        <v>1</v>
      </c>
      <c r="B85" s="1881" t="s">
        <v>541</v>
      </c>
      <c r="C85" s="72">
        <v>2014</v>
      </c>
      <c r="D85" s="154"/>
      <c r="E85" s="155"/>
      <c r="F85" s="31"/>
      <c r="G85" s="31"/>
      <c r="H85" s="31"/>
      <c r="I85" s="31"/>
      <c r="J85" s="31"/>
      <c r="K85" s="34"/>
    </row>
    <row r="86" spans="1:16">
      <c r="A86" s="2679"/>
      <c r="B86" s="1881"/>
      <c r="C86" s="73">
        <v>2015</v>
      </c>
      <c r="D86" s="156">
        <v>0</v>
      </c>
      <c r="E86" s="112">
        <v>0</v>
      </c>
      <c r="F86" s="38"/>
      <c r="G86" s="38"/>
      <c r="H86" s="38"/>
      <c r="I86" s="38"/>
      <c r="J86" s="38"/>
      <c r="K86" s="88"/>
    </row>
    <row r="87" spans="1:16">
      <c r="A87" s="2679"/>
      <c r="B87" s="1881"/>
      <c r="C87" s="73">
        <v>2016</v>
      </c>
      <c r="D87" s="156">
        <v>0</v>
      </c>
      <c r="E87" s="112">
        <v>0</v>
      </c>
      <c r="F87" s="38"/>
      <c r="G87" s="38"/>
      <c r="H87" s="38"/>
      <c r="I87" s="38"/>
      <c r="J87" s="38"/>
      <c r="K87" s="88"/>
    </row>
    <row r="88" spans="1:16">
      <c r="A88" s="2679"/>
      <c r="B88" s="1881"/>
      <c r="C88" s="73">
        <v>2017</v>
      </c>
      <c r="D88" s="156">
        <v>1</v>
      </c>
      <c r="E88" s="112">
        <v>1</v>
      </c>
      <c r="F88" s="38"/>
      <c r="G88" s="38"/>
      <c r="H88" s="38"/>
      <c r="I88" s="38"/>
      <c r="J88" s="38"/>
      <c r="K88" s="88"/>
    </row>
    <row r="89" spans="1:16">
      <c r="A89" s="2679"/>
      <c r="B89" s="1881"/>
      <c r="C89" s="73">
        <v>2018</v>
      </c>
      <c r="D89" s="156"/>
      <c r="E89" s="112"/>
      <c r="F89" s="38"/>
      <c r="G89" s="38"/>
      <c r="H89" s="38"/>
      <c r="I89" s="38"/>
      <c r="J89" s="38"/>
      <c r="K89" s="88"/>
    </row>
    <row r="90" spans="1:16">
      <c r="A90" s="2679"/>
      <c r="B90" s="1881"/>
      <c r="C90" s="73">
        <v>2019</v>
      </c>
      <c r="D90" s="156"/>
      <c r="E90" s="112"/>
      <c r="F90" s="38"/>
      <c r="G90" s="38"/>
      <c r="H90" s="38"/>
      <c r="I90" s="38"/>
      <c r="J90" s="38"/>
      <c r="K90" s="88"/>
    </row>
    <row r="91" spans="1:16">
      <c r="A91" s="2679"/>
      <c r="B91" s="1881"/>
      <c r="C91" s="73">
        <v>2020</v>
      </c>
      <c r="D91" s="156"/>
      <c r="E91" s="112"/>
      <c r="F91" s="38"/>
      <c r="G91" s="38"/>
      <c r="H91" s="38"/>
      <c r="I91" s="38"/>
      <c r="J91" s="38"/>
      <c r="K91" s="88"/>
    </row>
    <row r="92" spans="1:16" ht="18" customHeight="1" thickBot="1">
      <c r="A92" s="2664"/>
      <c r="B92" s="1883"/>
      <c r="C92" s="136" t="s">
        <v>13</v>
      </c>
      <c r="D92" s="157">
        <f t="shared" ref="D92:I92" si="7">SUM(D85:D91)</f>
        <v>1</v>
      </c>
      <c r="E92" s="115">
        <f t="shared" si="7"/>
        <v>1</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662" t="s">
        <v>542</v>
      </c>
      <c r="B98" s="2683" t="s">
        <v>543</v>
      </c>
      <c r="C98" s="106">
        <v>2014</v>
      </c>
      <c r="D98" s="30"/>
      <c r="E98" s="31"/>
      <c r="F98" s="174"/>
      <c r="G98" s="175"/>
      <c r="H98" s="175"/>
      <c r="I98" s="175"/>
      <c r="J98" s="175"/>
      <c r="K98" s="175"/>
      <c r="L98" s="175"/>
      <c r="M98" s="176"/>
      <c r="N98" s="165"/>
      <c r="O98" s="165"/>
      <c r="P98" s="165"/>
    </row>
    <row r="99" spans="1:16" ht="16.5" customHeight="1">
      <c r="A99" s="2681"/>
      <c r="B99" s="2683"/>
      <c r="C99" s="110">
        <v>2015</v>
      </c>
      <c r="D99" s="37"/>
      <c r="E99" s="38"/>
      <c r="F99" s="177"/>
      <c r="G99" s="178"/>
      <c r="H99" s="178"/>
      <c r="I99" s="178"/>
      <c r="J99" s="178"/>
      <c r="K99" s="178"/>
      <c r="L99" s="178"/>
      <c r="M99" s="179"/>
      <c r="N99" s="165"/>
      <c r="O99" s="165"/>
      <c r="P99" s="165"/>
    </row>
    <row r="100" spans="1:16" ht="16.5" customHeight="1">
      <c r="A100" s="2681"/>
      <c r="B100" s="2683"/>
      <c r="C100" s="110">
        <v>2016</v>
      </c>
      <c r="D100" s="37"/>
      <c r="E100" s="38"/>
      <c r="F100" s="177"/>
      <c r="G100" s="178"/>
      <c r="H100" s="178"/>
      <c r="I100" s="178"/>
      <c r="J100" s="178"/>
      <c r="K100" s="178"/>
      <c r="L100" s="178"/>
      <c r="M100" s="179"/>
      <c r="N100" s="165"/>
      <c r="O100" s="165"/>
      <c r="P100" s="165"/>
    </row>
    <row r="101" spans="1:16" ht="16.5" customHeight="1">
      <c r="A101" s="2681"/>
      <c r="B101" s="2683"/>
      <c r="C101" s="110">
        <v>2017</v>
      </c>
      <c r="D101" s="37">
        <v>1</v>
      </c>
      <c r="E101" s="38">
        <v>5</v>
      </c>
      <c r="F101" s="177">
        <v>1</v>
      </c>
      <c r="G101" s="178"/>
      <c r="H101" s="178"/>
      <c r="I101" s="178"/>
      <c r="J101" s="178"/>
      <c r="K101" s="178"/>
      <c r="L101" s="178"/>
      <c r="M101" s="179"/>
      <c r="N101" s="165"/>
      <c r="O101" s="165"/>
      <c r="P101" s="165"/>
    </row>
    <row r="102" spans="1:16" ht="15.75" customHeight="1">
      <c r="A102" s="2681"/>
      <c r="B102" s="2683"/>
      <c r="C102" s="110">
        <v>2018</v>
      </c>
      <c r="D102" s="37"/>
      <c r="E102" s="38"/>
      <c r="F102" s="177"/>
      <c r="G102" s="178"/>
      <c r="H102" s="178"/>
      <c r="I102" s="178"/>
      <c r="J102" s="178"/>
      <c r="K102" s="178"/>
      <c r="L102" s="178"/>
      <c r="M102" s="179"/>
      <c r="N102" s="165"/>
      <c r="O102" s="165"/>
      <c r="P102" s="165"/>
    </row>
    <row r="103" spans="1:16" ht="14.25" customHeight="1">
      <c r="A103" s="2681"/>
      <c r="B103" s="2683"/>
      <c r="C103" s="110">
        <v>2019</v>
      </c>
      <c r="D103" s="37"/>
      <c r="E103" s="38"/>
      <c r="F103" s="177"/>
      <c r="G103" s="178"/>
      <c r="H103" s="178"/>
      <c r="I103" s="178"/>
      <c r="J103" s="178"/>
      <c r="K103" s="178"/>
      <c r="L103" s="178"/>
      <c r="M103" s="179"/>
      <c r="N103" s="165"/>
      <c r="O103" s="165"/>
      <c r="P103" s="165"/>
    </row>
    <row r="104" spans="1:16" ht="14.25" customHeight="1">
      <c r="A104" s="2681"/>
      <c r="B104" s="2683"/>
      <c r="C104" s="110">
        <v>2020</v>
      </c>
      <c r="D104" s="37"/>
      <c r="E104" s="38"/>
      <c r="F104" s="177"/>
      <c r="G104" s="178"/>
      <c r="H104" s="178"/>
      <c r="I104" s="178"/>
      <c r="J104" s="178"/>
      <c r="K104" s="178"/>
      <c r="L104" s="178"/>
      <c r="M104" s="179"/>
      <c r="N104" s="165"/>
      <c r="O104" s="165"/>
      <c r="P104" s="165"/>
    </row>
    <row r="105" spans="1:16" ht="19.5" customHeight="1" thickBot="1">
      <c r="A105" s="2682"/>
      <c r="B105" s="2684"/>
      <c r="C105" s="113" t="s">
        <v>13</v>
      </c>
      <c r="D105" s="139">
        <f>SUM(D98:D104)</f>
        <v>1</v>
      </c>
      <c r="E105" s="116">
        <f t="shared" ref="E105:K105" si="8">SUM(E98:E104)</f>
        <v>5</v>
      </c>
      <c r="F105" s="180">
        <f t="shared" si="8"/>
        <v>1</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675" t="s">
        <v>544</v>
      </c>
      <c r="B109" s="2676"/>
      <c r="C109" s="106">
        <v>2014</v>
      </c>
      <c r="D109" s="31"/>
      <c r="E109" s="174"/>
      <c r="F109" s="175"/>
      <c r="G109" s="175"/>
      <c r="H109" s="175"/>
      <c r="I109" s="175"/>
      <c r="J109" s="175"/>
      <c r="K109" s="175"/>
      <c r="L109" s="176"/>
      <c r="M109" s="185"/>
      <c r="N109" s="185"/>
    </row>
    <row r="110" spans="1:16">
      <c r="A110" s="2675"/>
      <c r="B110" s="2676"/>
      <c r="C110" s="110">
        <v>2015</v>
      </c>
      <c r="D110" s="38"/>
      <c r="E110" s="177"/>
      <c r="F110" s="178"/>
      <c r="G110" s="178"/>
      <c r="H110" s="178"/>
      <c r="I110" s="178"/>
      <c r="J110" s="178"/>
      <c r="K110" s="178"/>
      <c r="L110" s="179"/>
      <c r="M110" s="185"/>
      <c r="N110" s="185"/>
    </row>
    <row r="111" spans="1:16">
      <c r="A111" s="2675"/>
      <c r="B111" s="2676"/>
      <c r="C111" s="110">
        <v>2016</v>
      </c>
      <c r="D111" s="38"/>
      <c r="E111" s="177"/>
      <c r="F111" s="178"/>
      <c r="G111" s="178"/>
      <c r="H111" s="178"/>
      <c r="I111" s="178"/>
      <c r="J111" s="178"/>
      <c r="K111" s="178"/>
      <c r="L111" s="179"/>
      <c r="M111" s="185"/>
      <c r="N111" s="185"/>
    </row>
    <row r="112" spans="1:16">
      <c r="A112" s="2675"/>
      <c r="B112" s="2676"/>
      <c r="C112" s="110">
        <v>2017</v>
      </c>
      <c r="D112" s="38">
        <v>277</v>
      </c>
      <c r="E112" s="177">
        <v>277</v>
      </c>
      <c r="F112" s="178"/>
      <c r="G112" s="178"/>
      <c r="H112" s="178"/>
      <c r="I112" s="178"/>
      <c r="J112" s="178"/>
      <c r="K112" s="178"/>
      <c r="L112" s="179"/>
      <c r="M112" s="185"/>
      <c r="N112" s="185"/>
    </row>
    <row r="113" spans="1:14">
      <c r="A113" s="2675"/>
      <c r="B113" s="2676"/>
      <c r="C113" s="110">
        <v>2018</v>
      </c>
      <c r="D113" s="38"/>
      <c r="E113" s="177"/>
      <c r="F113" s="178"/>
      <c r="G113" s="178"/>
      <c r="H113" s="178"/>
      <c r="I113" s="178"/>
      <c r="J113" s="178"/>
      <c r="K113" s="178"/>
      <c r="L113" s="179"/>
      <c r="M113" s="185"/>
      <c r="N113" s="185"/>
    </row>
    <row r="114" spans="1:14">
      <c r="A114" s="2675"/>
      <c r="B114" s="2676"/>
      <c r="C114" s="110">
        <v>2019</v>
      </c>
      <c r="D114" s="38"/>
      <c r="E114" s="177"/>
      <c r="F114" s="178"/>
      <c r="G114" s="178"/>
      <c r="H114" s="178"/>
      <c r="I114" s="178"/>
      <c r="J114" s="178"/>
      <c r="K114" s="178"/>
      <c r="L114" s="179"/>
      <c r="M114" s="185"/>
      <c r="N114" s="185"/>
    </row>
    <row r="115" spans="1:14">
      <c r="A115" s="2675"/>
      <c r="B115" s="2676"/>
      <c r="C115" s="110">
        <v>2020</v>
      </c>
      <c r="D115" s="38"/>
      <c r="E115" s="177"/>
      <c r="F115" s="178"/>
      <c r="G115" s="178"/>
      <c r="H115" s="178"/>
      <c r="I115" s="178"/>
      <c r="J115" s="178"/>
      <c r="K115" s="178"/>
      <c r="L115" s="179"/>
      <c r="M115" s="185"/>
      <c r="N115" s="185"/>
    </row>
    <row r="116" spans="1:14" ht="25.5" customHeight="1" thickBot="1">
      <c r="A116" s="2677"/>
      <c r="B116" s="2678"/>
      <c r="C116" s="113" t="s">
        <v>13</v>
      </c>
      <c r="D116" s="116">
        <f t="shared" ref="D116:I116" si="9">SUM(D109:D115)</f>
        <v>277</v>
      </c>
      <c r="E116" s="180">
        <f t="shared" si="9"/>
        <v>277</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662">
        <v>0</v>
      </c>
      <c r="B120" s="2663"/>
      <c r="C120" s="106">
        <v>2014</v>
      </c>
      <c r="D120" s="31"/>
      <c r="E120" s="174"/>
      <c r="F120" s="175"/>
      <c r="G120" s="175"/>
      <c r="H120" s="175"/>
      <c r="I120" s="175"/>
      <c r="J120" s="175"/>
      <c r="K120" s="175"/>
      <c r="L120" s="176"/>
      <c r="M120" s="185"/>
      <c r="N120" s="185"/>
    </row>
    <row r="121" spans="1:14">
      <c r="A121" s="2662"/>
      <c r="B121" s="2663"/>
      <c r="C121" s="110">
        <v>2015</v>
      </c>
      <c r="D121" s="38"/>
      <c r="E121" s="177"/>
      <c r="F121" s="178"/>
      <c r="G121" s="178"/>
      <c r="H121" s="178"/>
      <c r="I121" s="178"/>
      <c r="J121" s="178"/>
      <c r="K121" s="178"/>
      <c r="L121" s="179"/>
      <c r="M121" s="185"/>
      <c r="N121" s="185"/>
    </row>
    <row r="122" spans="1:14">
      <c r="A122" s="2662"/>
      <c r="B122" s="2663"/>
      <c r="C122" s="110">
        <v>2016</v>
      </c>
      <c r="D122" s="38"/>
      <c r="E122" s="177"/>
      <c r="F122" s="178"/>
      <c r="G122" s="178"/>
      <c r="H122" s="178"/>
      <c r="I122" s="178"/>
      <c r="J122" s="178"/>
      <c r="K122" s="178"/>
      <c r="L122" s="179"/>
      <c r="M122" s="185"/>
      <c r="N122" s="185"/>
    </row>
    <row r="123" spans="1:14">
      <c r="A123" s="2662"/>
      <c r="B123" s="2663"/>
      <c r="C123" s="110">
        <v>2017</v>
      </c>
      <c r="D123" s="38"/>
      <c r="E123" s="177"/>
      <c r="F123" s="178"/>
      <c r="G123" s="178"/>
      <c r="H123" s="178"/>
      <c r="I123" s="178"/>
      <c r="J123" s="178"/>
      <c r="K123" s="178"/>
      <c r="L123" s="179"/>
      <c r="M123" s="185"/>
      <c r="N123" s="185"/>
    </row>
    <row r="124" spans="1:14">
      <c r="A124" s="2662"/>
      <c r="B124" s="2663"/>
      <c r="C124" s="110">
        <v>2018</v>
      </c>
      <c r="D124" s="38"/>
      <c r="E124" s="177"/>
      <c r="F124" s="178"/>
      <c r="G124" s="178"/>
      <c r="H124" s="178"/>
      <c r="I124" s="178"/>
      <c r="J124" s="178"/>
      <c r="K124" s="178"/>
      <c r="L124" s="179"/>
      <c r="M124" s="185"/>
      <c r="N124" s="185"/>
    </row>
    <row r="125" spans="1:14">
      <c r="A125" s="2662"/>
      <c r="B125" s="2663"/>
      <c r="C125" s="110">
        <v>2019</v>
      </c>
      <c r="D125" s="38"/>
      <c r="E125" s="177"/>
      <c r="F125" s="178"/>
      <c r="G125" s="178"/>
      <c r="H125" s="178"/>
      <c r="I125" s="178"/>
      <c r="J125" s="178"/>
      <c r="K125" s="178"/>
      <c r="L125" s="179"/>
      <c r="M125" s="185"/>
      <c r="N125" s="185"/>
    </row>
    <row r="126" spans="1:14">
      <c r="A126" s="2662"/>
      <c r="B126" s="2663"/>
      <c r="C126" s="110">
        <v>2020</v>
      </c>
      <c r="D126" s="38"/>
      <c r="E126" s="177"/>
      <c r="F126" s="178"/>
      <c r="G126" s="178"/>
      <c r="H126" s="178"/>
      <c r="I126" s="178"/>
      <c r="J126" s="178"/>
      <c r="K126" s="178"/>
      <c r="L126" s="179"/>
      <c r="M126" s="185"/>
      <c r="N126" s="185"/>
    </row>
    <row r="127" spans="1:14" ht="15.75" thickBot="1">
      <c r="A127" s="2664"/>
      <c r="B127" s="2665"/>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2672">
        <v>6</v>
      </c>
      <c r="B131" s="2063" t="s">
        <v>545</v>
      </c>
      <c r="C131" s="106">
        <v>2015</v>
      </c>
      <c r="D131" s="30"/>
      <c r="E131" s="31"/>
      <c r="F131" s="31"/>
      <c r="G131" s="195">
        <f t="shared" ref="G131:G136" si="11">SUM(D131:F131)</f>
        <v>0</v>
      </c>
      <c r="H131" s="185"/>
      <c r="I131" s="185"/>
      <c r="J131" s="185"/>
      <c r="K131" s="185"/>
      <c r="L131" s="185"/>
      <c r="M131" s="185"/>
      <c r="N131" s="185"/>
    </row>
    <row r="132" spans="1:16">
      <c r="A132" s="2673"/>
      <c r="B132" s="2061"/>
      <c r="C132" s="110">
        <v>2016</v>
      </c>
      <c r="D132" s="37"/>
      <c r="E132" s="38"/>
      <c r="F132" s="38"/>
      <c r="G132" s="195">
        <f t="shared" si="11"/>
        <v>0</v>
      </c>
      <c r="H132" s="185"/>
      <c r="I132" s="185"/>
      <c r="J132" s="185"/>
      <c r="K132" s="185"/>
      <c r="L132" s="185"/>
      <c r="M132" s="185"/>
      <c r="N132" s="185"/>
    </row>
    <row r="133" spans="1:16">
      <c r="A133" s="2673"/>
      <c r="B133" s="2061"/>
      <c r="C133" s="110">
        <v>2017</v>
      </c>
      <c r="D133" s="37"/>
      <c r="E133" s="38">
        <v>6</v>
      </c>
      <c r="F133" s="38"/>
      <c r="G133" s="195">
        <f t="shared" si="11"/>
        <v>6</v>
      </c>
      <c r="H133" s="185"/>
      <c r="I133" s="185"/>
      <c r="J133" s="185"/>
      <c r="K133" s="185"/>
      <c r="L133" s="185"/>
      <c r="M133" s="185"/>
      <c r="N133" s="185"/>
    </row>
    <row r="134" spans="1:16">
      <c r="A134" s="2673"/>
      <c r="B134" s="2061"/>
      <c r="C134" s="110">
        <v>2018</v>
      </c>
      <c r="D134" s="37"/>
      <c r="E134" s="38"/>
      <c r="F134" s="38"/>
      <c r="G134" s="195">
        <f t="shared" si="11"/>
        <v>0</v>
      </c>
      <c r="H134" s="185"/>
      <c r="I134" s="185"/>
      <c r="J134" s="185"/>
      <c r="K134" s="185"/>
      <c r="L134" s="185"/>
      <c r="M134" s="185"/>
      <c r="N134" s="185"/>
    </row>
    <row r="135" spans="1:16">
      <c r="A135" s="2673"/>
      <c r="B135" s="2061"/>
      <c r="C135" s="110">
        <v>2019</v>
      </c>
      <c r="D135" s="37"/>
      <c r="E135" s="38"/>
      <c r="F135" s="38"/>
      <c r="G135" s="195">
        <f t="shared" si="11"/>
        <v>0</v>
      </c>
      <c r="H135" s="185"/>
      <c r="I135" s="185"/>
      <c r="J135" s="185"/>
      <c r="K135" s="185"/>
      <c r="L135" s="185"/>
      <c r="M135" s="185"/>
      <c r="N135" s="185"/>
    </row>
    <row r="136" spans="1:16">
      <c r="A136" s="2673"/>
      <c r="B136" s="2061"/>
      <c r="C136" s="110">
        <v>2020</v>
      </c>
      <c r="D136" s="37"/>
      <c r="E136" s="38"/>
      <c r="F136" s="38"/>
      <c r="G136" s="195">
        <f t="shared" si="11"/>
        <v>0</v>
      </c>
      <c r="H136" s="185"/>
      <c r="I136" s="185"/>
      <c r="J136" s="185"/>
      <c r="K136" s="185"/>
      <c r="L136" s="185"/>
      <c r="M136" s="185"/>
      <c r="N136" s="185"/>
    </row>
    <row r="137" spans="1:16" ht="17.25" customHeight="1" thickBot="1">
      <c r="A137" s="2674"/>
      <c r="B137" s="2062"/>
      <c r="C137" s="113" t="s">
        <v>13</v>
      </c>
      <c r="D137" s="139">
        <f>SUM(D131:D136)</f>
        <v>0</v>
      </c>
      <c r="E137" s="139">
        <f t="shared" ref="E137:F137" si="12">SUM(E131:E136)</f>
        <v>6</v>
      </c>
      <c r="F137" s="139">
        <f t="shared" si="12"/>
        <v>0</v>
      </c>
      <c r="G137" s="196">
        <f>SUM(G131:G136)</f>
        <v>6</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662">
        <v>0</v>
      </c>
      <c r="B144" s="2663"/>
      <c r="C144" s="106">
        <v>2014</v>
      </c>
      <c r="D144" s="30"/>
      <c r="E144" s="30"/>
      <c r="F144" s="31"/>
      <c r="G144" s="175"/>
      <c r="H144" s="175"/>
      <c r="I144" s="213">
        <f>D144+F144+G144+H144</f>
        <v>0</v>
      </c>
      <c r="J144" s="214"/>
      <c r="K144" s="215"/>
      <c r="L144" s="214"/>
      <c r="M144" s="215"/>
      <c r="N144" s="216"/>
      <c r="O144" s="165"/>
      <c r="P144" s="165"/>
    </row>
    <row r="145" spans="1:16" ht="19.5" customHeight="1">
      <c r="A145" s="2662"/>
      <c r="B145" s="2663"/>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2662"/>
      <c r="B146" s="2663"/>
      <c r="C146" s="110">
        <v>2016</v>
      </c>
      <c r="D146" s="37"/>
      <c r="E146" s="37"/>
      <c r="F146" s="38"/>
      <c r="G146" s="178"/>
      <c r="H146" s="178"/>
      <c r="I146" s="213">
        <f t="shared" si="13"/>
        <v>0</v>
      </c>
      <c r="J146" s="217"/>
      <c r="K146" s="218"/>
      <c r="L146" s="217"/>
      <c r="M146" s="218"/>
      <c r="N146" s="219"/>
      <c r="O146" s="165"/>
      <c r="P146" s="165"/>
    </row>
    <row r="147" spans="1:16" ht="17.25" customHeight="1">
      <c r="A147" s="2662"/>
      <c r="B147" s="2663"/>
      <c r="C147" s="110">
        <v>2017</v>
      </c>
      <c r="D147" s="37"/>
      <c r="E147" s="37"/>
      <c r="F147" s="38"/>
      <c r="G147" s="178"/>
      <c r="H147" s="178"/>
      <c r="I147" s="213">
        <f t="shared" si="13"/>
        <v>0</v>
      </c>
      <c r="J147" s="217"/>
      <c r="K147" s="218"/>
      <c r="L147" s="217"/>
      <c r="M147" s="218"/>
      <c r="N147" s="219"/>
      <c r="O147" s="165"/>
      <c r="P147" s="165"/>
    </row>
    <row r="148" spans="1:16" ht="19.5" customHeight="1">
      <c r="A148" s="2662"/>
      <c r="B148" s="2663"/>
      <c r="C148" s="110">
        <v>2018</v>
      </c>
      <c r="D148" s="37"/>
      <c r="E148" s="37"/>
      <c r="F148" s="38"/>
      <c r="G148" s="178"/>
      <c r="H148" s="178"/>
      <c r="I148" s="213">
        <f t="shared" si="13"/>
        <v>0</v>
      </c>
      <c r="J148" s="217"/>
      <c r="K148" s="218"/>
      <c r="L148" s="217"/>
      <c r="M148" s="218"/>
      <c r="N148" s="219"/>
      <c r="O148" s="165"/>
      <c r="P148" s="165"/>
    </row>
    <row r="149" spans="1:16" ht="19.5" customHeight="1">
      <c r="A149" s="2662"/>
      <c r="B149" s="2663"/>
      <c r="C149" s="110">
        <v>2019</v>
      </c>
      <c r="D149" s="37"/>
      <c r="E149" s="37"/>
      <c r="F149" s="38"/>
      <c r="G149" s="178"/>
      <c r="H149" s="178"/>
      <c r="I149" s="213">
        <f t="shared" si="13"/>
        <v>0</v>
      </c>
      <c r="J149" s="217"/>
      <c r="K149" s="218"/>
      <c r="L149" s="217"/>
      <c r="M149" s="218"/>
      <c r="N149" s="219"/>
      <c r="O149" s="165"/>
      <c r="P149" s="165"/>
    </row>
    <row r="150" spans="1:16" ht="18.75" customHeight="1">
      <c r="A150" s="2662"/>
      <c r="B150" s="2663"/>
      <c r="C150" s="110">
        <v>2020</v>
      </c>
      <c r="D150" s="37"/>
      <c r="E150" s="37"/>
      <c r="F150" s="38"/>
      <c r="G150" s="178"/>
      <c r="H150" s="178"/>
      <c r="I150" s="213">
        <f t="shared" si="13"/>
        <v>0</v>
      </c>
      <c r="J150" s="217"/>
      <c r="K150" s="218"/>
      <c r="L150" s="217"/>
      <c r="M150" s="218"/>
      <c r="N150" s="219"/>
      <c r="O150" s="165"/>
      <c r="P150" s="165"/>
    </row>
    <row r="151" spans="1:16" ht="18" customHeight="1" thickBot="1">
      <c r="A151" s="2664"/>
      <c r="B151" s="2665"/>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662">
        <v>0</v>
      </c>
      <c r="B155" s="2663"/>
      <c r="C155" s="233">
        <v>2014</v>
      </c>
      <c r="D155" s="214"/>
      <c r="E155" s="175"/>
      <c r="F155" s="215"/>
      <c r="G155" s="213">
        <f>SUM(D155:F155)</f>
        <v>0</v>
      </c>
      <c r="H155" s="214"/>
      <c r="I155" s="175"/>
      <c r="J155" s="176"/>
      <c r="O155" s="165"/>
      <c r="P155" s="165"/>
    </row>
    <row r="156" spans="1:16" ht="19.5" customHeight="1">
      <c r="A156" s="2662"/>
      <c r="B156" s="2663"/>
      <c r="C156" s="234">
        <v>2015</v>
      </c>
      <c r="D156" s="217"/>
      <c r="E156" s="178"/>
      <c r="F156" s="218"/>
      <c r="G156" s="213">
        <f t="shared" ref="G156:G161" si="15">SUM(D156:F156)</f>
        <v>0</v>
      </c>
      <c r="H156" s="217"/>
      <c r="I156" s="178"/>
      <c r="J156" s="179"/>
      <c r="O156" s="165"/>
      <c r="P156" s="165"/>
    </row>
    <row r="157" spans="1:16" ht="17.25" customHeight="1">
      <c r="A157" s="2662"/>
      <c r="B157" s="2663"/>
      <c r="C157" s="234">
        <v>2016</v>
      </c>
      <c r="D157" s="217"/>
      <c r="E157" s="178"/>
      <c r="F157" s="218"/>
      <c r="G157" s="213">
        <f t="shared" si="15"/>
        <v>0</v>
      </c>
      <c r="H157" s="217"/>
      <c r="I157" s="178"/>
      <c r="J157" s="179"/>
      <c r="O157" s="165"/>
      <c r="P157" s="165"/>
    </row>
    <row r="158" spans="1:16" ht="15" customHeight="1">
      <c r="A158" s="2662"/>
      <c r="B158" s="2663"/>
      <c r="C158" s="234">
        <v>2017</v>
      </c>
      <c r="D158" s="217"/>
      <c r="E158" s="178"/>
      <c r="F158" s="218"/>
      <c r="G158" s="213">
        <f t="shared" si="15"/>
        <v>0</v>
      </c>
      <c r="H158" s="217"/>
      <c r="I158" s="178"/>
      <c r="J158" s="179"/>
      <c r="O158" s="165"/>
      <c r="P158" s="165"/>
    </row>
    <row r="159" spans="1:16" ht="19.5" customHeight="1">
      <c r="A159" s="2662"/>
      <c r="B159" s="2663"/>
      <c r="C159" s="234">
        <v>2018</v>
      </c>
      <c r="D159" s="217"/>
      <c r="E159" s="178"/>
      <c r="F159" s="218"/>
      <c r="G159" s="213">
        <f t="shared" si="15"/>
        <v>0</v>
      </c>
      <c r="H159" s="217"/>
      <c r="I159" s="178"/>
      <c r="J159" s="179"/>
      <c r="O159" s="165"/>
      <c r="P159" s="165"/>
    </row>
    <row r="160" spans="1:16" ht="15" customHeight="1">
      <c r="A160" s="2662"/>
      <c r="B160" s="2663"/>
      <c r="C160" s="234">
        <v>2019</v>
      </c>
      <c r="D160" s="217"/>
      <c r="E160" s="178"/>
      <c r="F160" s="218"/>
      <c r="G160" s="213">
        <f t="shared" si="15"/>
        <v>0</v>
      </c>
      <c r="H160" s="217"/>
      <c r="I160" s="178"/>
      <c r="J160" s="179"/>
      <c r="O160" s="165"/>
      <c r="P160" s="165"/>
    </row>
    <row r="161" spans="1:20" ht="17.25" customHeight="1">
      <c r="A161" s="2662"/>
      <c r="B161" s="2663"/>
      <c r="C161" s="234">
        <v>2020</v>
      </c>
      <c r="D161" s="217"/>
      <c r="E161" s="178"/>
      <c r="F161" s="218"/>
      <c r="G161" s="213">
        <f t="shared" si="15"/>
        <v>0</v>
      </c>
      <c r="H161" s="217"/>
      <c r="I161" s="178"/>
      <c r="J161" s="179"/>
      <c r="O161" s="165"/>
      <c r="P161" s="165"/>
    </row>
    <row r="162" spans="1:20" ht="15.75" thickBot="1">
      <c r="A162" s="2664"/>
      <c r="B162" s="2665"/>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20" ht="24.75" customHeight="1" thickBot="1">
      <c r="A163" s="237"/>
      <c r="B163" s="238"/>
      <c r="C163" s="239"/>
      <c r="D163" s="165"/>
      <c r="E163" s="560"/>
      <c r="F163" s="165"/>
      <c r="G163" s="165"/>
      <c r="H163" s="165"/>
      <c r="I163" s="165"/>
      <c r="J163" s="241"/>
      <c r="K163" s="242"/>
    </row>
    <row r="164" spans="1:20"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20" ht="15.75" customHeight="1">
      <c r="A165" s="2666">
        <v>0</v>
      </c>
      <c r="B165" s="2667"/>
      <c r="C165" s="251">
        <v>2014</v>
      </c>
      <c r="D165" s="175"/>
      <c r="E165" s="175"/>
      <c r="F165" s="175"/>
      <c r="G165" s="175"/>
      <c r="H165" s="175"/>
      <c r="I165" s="176"/>
      <c r="J165" s="252">
        <f>SUM(D165,F165,H165)</f>
        <v>0</v>
      </c>
      <c r="K165" s="253">
        <f>SUM(E165,G165,I165)</f>
        <v>0</v>
      </c>
      <c r="L165" s="1531"/>
    </row>
    <row r="166" spans="1:20">
      <c r="A166" s="2668"/>
      <c r="B166" s="2669"/>
      <c r="C166" s="254">
        <v>2015</v>
      </c>
      <c r="D166" s="255"/>
      <c r="E166" s="255"/>
      <c r="F166" s="255"/>
      <c r="G166" s="255"/>
      <c r="H166" s="255"/>
      <c r="I166" s="256"/>
      <c r="J166" s="407">
        <f t="shared" ref="J166:K171" si="17">SUM(D166,F166,H166)</f>
        <v>0</v>
      </c>
      <c r="K166" s="408">
        <f t="shared" si="17"/>
        <v>0</v>
      </c>
      <c r="L166" s="1531"/>
    </row>
    <row r="167" spans="1:20">
      <c r="A167" s="2668"/>
      <c r="B167" s="2669"/>
      <c r="C167" s="254">
        <v>2016</v>
      </c>
      <c r="D167" s="255"/>
      <c r="E167" s="255"/>
      <c r="F167" s="255"/>
      <c r="G167" s="255"/>
      <c r="H167" s="255"/>
      <c r="I167" s="256"/>
      <c r="J167" s="407">
        <f t="shared" si="17"/>
        <v>0</v>
      </c>
      <c r="K167" s="408">
        <f t="shared" si="17"/>
        <v>0</v>
      </c>
    </row>
    <row r="168" spans="1:20">
      <c r="A168" s="2668"/>
      <c r="B168" s="2669"/>
      <c r="C168" s="254">
        <v>2017</v>
      </c>
      <c r="D168" s="255"/>
      <c r="E168" s="165"/>
      <c r="F168" s="255"/>
      <c r="G168" s="255"/>
      <c r="H168" s="255"/>
      <c r="I168" s="256"/>
      <c r="J168" s="407">
        <f t="shared" si="17"/>
        <v>0</v>
      </c>
      <c r="K168" s="408">
        <f t="shared" si="17"/>
        <v>0</v>
      </c>
    </row>
    <row r="169" spans="1:20">
      <c r="A169" s="2668"/>
      <c r="B169" s="2669"/>
      <c r="C169" s="262">
        <v>2018</v>
      </c>
      <c r="D169" s="255"/>
      <c r="E169" s="255"/>
      <c r="F169" s="255"/>
      <c r="G169" s="263"/>
      <c r="H169" s="255"/>
      <c r="I169" s="256"/>
      <c r="J169" s="407">
        <f t="shared" si="17"/>
        <v>0</v>
      </c>
      <c r="K169" s="408">
        <f t="shared" si="17"/>
        <v>0</v>
      </c>
      <c r="L169" s="1531"/>
    </row>
    <row r="170" spans="1:20">
      <c r="A170" s="2668"/>
      <c r="B170" s="2669"/>
      <c r="C170" s="254">
        <v>2019</v>
      </c>
      <c r="D170" s="165"/>
      <c r="E170" s="255"/>
      <c r="F170" s="255"/>
      <c r="G170" s="255"/>
      <c r="H170" s="263"/>
      <c r="I170" s="256"/>
      <c r="J170" s="407">
        <f t="shared" si="17"/>
        <v>0</v>
      </c>
      <c r="K170" s="408">
        <f t="shared" si="17"/>
        <v>0</v>
      </c>
      <c r="L170" s="1531"/>
    </row>
    <row r="171" spans="1:20">
      <c r="A171" s="2668"/>
      <c r="B171" s="2669"/>
      <c r="C171" s="262">
        <v>2020</v>
      </c>
      <c r="D171" s="255"/>
      <c r="E171" s="255"/>
      <c r="F171" s="255"/>
      <c r="G171" s="255"/>
      <c r="H171" s="255"/>
      <c r="I171" s="256"/>
      <c r="J171" s="407">
        <f t="shared" si="17"/>
        <v>0</v>
      </c>
      <c r="K171" s="408">
        <f t="shared" si="17"/>
        <v>0</v>
      </c>
      <c r="L171" s="1531"/>
    </row>
    <row r="172" spans="1:20" ht="41.25" customHeight="1" thickBot="1">
      <c r="A172" s="2670"/>
      <c r="B172" s="2671"/>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20"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20" ht="21">
      <c r="A174" s="270" t="s">
        <v>126</v>
      </c>
      <c r="B174" s="270"/>
      <c r="C174" s="271"/>
      <c r="D174" s="271"/>
      <c r="E174" s="271"/>
      <c r="F174" s="271"/>
      <c r="G174" s="271"/>
      <c r="H174" s="271"/>
      <c r="I174" s="271"/>
      <c r="J174" s="271"/>
      <c r="K174" s="271"/>
      <c r="L174" s="271"/>
      <c r="M174" s="271"/>
      <c r="N174" s="271"/>
      <c r="O174" s="271"/>
    </row>
    <row r="175" spans="1:20" ht="21.75" thickBot="1">
      <c r="A175" s="272"/>
      <c r="B175" s="272"/>
    </row>
    <row r="176" spans="1:20"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c r="Q176" s="2656"/>
      <c r="R176" s="2656"/>
      <c r="S176" s="2656"/>
      <c r="T176" s="2656"/>
    </row>
    <row r="177" spans="1:20"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c r="Q177" s="122"/>
      <c r="R177" s="122"/>
      <c r="S177" s="122"/>
      <c r="T177" s="122"/>
    </row>
    <row r="178" spans="1:20" ht="15" customHeight="1">
      <c r="A178" s="2648">
        <v>20</v>
      </c>
      <c r="B178" s="2659" t="s">
        <v>546</v>
      </c>
      <c r="C178" s="106">
        <v>2014</v>
      </c>
      <c r="D178" s="30"/>
      <c r="E178" s="31"/>
      <c r="F178" s="31"/>
      <c r="G178" s="284">
        <f>SUM(D178:F178)</f>
        <v>0</v>
      </c>
      <c r="H178" s="155"/>
      <c r="I178" s="155"/>
      <c r="J178" s="31"/>
      <c r="K178" s="31"/>
      <c r="L178" s="31"/>
      <c r="M178" s="31"/>
      <c r="N178" s="31"/>
      <c r="O178" s="34"/>
      <c r="Q178" s="78"/>
      <c r="R178" s="78"/>
      <c r="S178" s="78"/>
      <c r="T178" s="78"/>
    </row>
    <row r="179" spans="1:20">
      <c r="A179" s="2657"/>
      <c r="B179" s="2660"/>
      <c r="C179" s="110">
        <v>2015</v>
      </c>
      <c r="D179" s="37">
        <v>1</v>
      </c>
      <c r="E179" s="38"/>
      <c r="F179" s="38"/>
      <c r="G179" s="284">
        <f t="shared" ref="G179:G184" si="19">SUM(D179:F179)</f>
        <v>1</v>
      </c>
      <c r="H179" s="411">
        <v>1</v>
      </c>
      <c r="I179" s="112">
        <v>1</v>
      </c>
      <c r="J179" s="38"/>
      <c r="K179" s="38"/>
      <c r="L179" s="38"/>
      <c r="M179" s="38"/>
      <c r="N179" s="38"/>
      <c r="O179" s="88"/>
      <c r="Q179" s="78"/>
      <c r="R179" s="78"/>
      <c r="S179" s="78"/>
      <c r="T179" s="78"/>
    </row>
    <row r="180" spans="1:20">
      <c r="A180" s="2657"/>
      <c r="B180" s="2660"/>
      <c r="C180" s="110">
        <v>2016</v>
      </c>
      <c r="D180" s="37">
        <v>12</v>
      </c>
      <c r="E180" s="38">
        <v>2</v>
      </c>
      <c r="F180" s="38">
        <v>2</v>
      </c>
      <c r="G180" s="284">
        <f t="shared" si="19"/>
        <v>16</v>
      </c>
      <c r="H180" s="411">
        <v>16</v>
      </c>
      <c r="I180" s="112">
        <v>16</v>
      </c>
      <c r="J180" s="38"/>
      <c r="K180" s="38"/>
      <c r="L180" s="38"/>
      <c r="M180" s="38"/>
      <c r="N180" s="38"/>
      <c r="O180" s="88"/>
      <c r="Q180" s="78"/>
      <c r="R180" s="78"/>
      <c r="S180" s="78"/>
      <c r="T180" s="78"/>
    </row>
    <row r="181" spans="1:20">
      <c r="A181" s="2657"/>
      <c r="B181" s="2660"/>
      <c r="C181" s="110">
        <v>2017</v>
      </c>
      <c r="D181" s="37">
        <v>1</v>
      </c>
      <c r="E181" s="38">
        <v>2</v>
      </c>
      <c r="F181" s="38"/>
      <c r="G181" s="284">
        <f t="shared" si="19"/>
        <v>3</v>
      </c>
      <c r="H181" s="411">
        <v>5</v>
      </c>
      <c r="I181" s="112">
        <v>3</v>
      </c>
      <c r="J181" s="38"/>
      <c r="K181" s="38"/>
      <c r="L181" s="38"/>
      <c r="M181" s="38"/>
      <c r="N181" s="38"/>
      <c r="O181" s="88"/>
      <c r="Q181" s="78"/>
      <c r="R181" s="78"/>
      <c r="S181" s="78"/>
      <c r="T181" s="78"/>
    </row>
    <row r="182" spans="1:20">
      <c r="A182" s="2657"/>
      <c r="B182" s="2660"/>
      <c r="C182" s="110">
        <v>2018</v>
      </c>
      <c r="D182" s="37"/>
      <c r="E182" s="38"/>
      <c r="F182" s="38"/>
      <c r="G182" s="284">
        <f t="shared" si="19"/>
        <v>0</v>
      </c>
      <c r="H182" s="411"/>
      <c r="I182" s="112"/>
      <c r="J182" s="38"/>
      <c r="K182" s="38"/>
      <c r="L182" s="38"/>
      <c r="M182" s="38"/>
      <c r="N182" s="38"/>
      <c r="O182" s="88"/>
      <c r="Q182" s="78"/>
      <c r="R182" s="78"/>
      <c r="S182" s="78"/>
      <c r="T182" s="78"/>
    </row>
    <row r="183" spans="1:20">
      <c r="A183" s="2657"/>
      <c r="B183" s="2660"/>
      <c r="C183" s="110">
        <v>2019</v>
      </c>
      <c r="D183" s="37"/>
      <c r="E183" s="38"/>
      <c r="F183" s="38"/>
      <c r="G183" s="284">
        <f t="shared" si="19"/>
        <v>0</v>
      </c>
      <c r="H183" s="411"/>
      <c r="I183" s="112"/>
      <c r="J183" s="38"/>
      <c r="K183" s="38"/>
      <c r="L183" s="38"/>
      <c r="M183" s="38"/>
      <c r="N183" s="38"/>
      <c r="O183" s="88"/>
      <c r="Q183" s="78"/>
      <c r="R183" s="78"/>
      <c r="S183" s="78"/>
      <c r="T183" s="78"/>
    </row>
    <row r="184" spans="1:20">
      <c r="A184" s="2657"/>
      <c r="B184" s="2660"/>
      <c r="C184" s="110">
        <v>2020</v>
      </c>
      <c r="D184" s="37"/>
      <c r="E184" s="38"/>
      <c r="F184" s="38"/>
      <c r="G184" s="284">
        <f t="shared" si="19"/>
        <v>0</v>
      </c>
      <c r="H184" s="411"/>
      <c r="I184" s="112"/>
      <c r="J184" s="38"/>
      <c r="K184" s="38"/>
      <c r="L184" s="38"/>
      <c r="M184" s="38"/>
      <c r="N184" s="38"/>
      <c r="O184" s="88"/>
      <c r="Q184" s="78"/>
      <c r="R184" s="78"/>
      <c r="S184" s="78"/>
      <c r="T184" s="78"/>
    </row>
    <row r="185" spans="1:20" ht="45" customHeight="1" thickBot="1">
      <c r="A185" s="2658"/>
      <c r="B185" s="2661"/>
      <c r="C185" s="113" t="s">
        <v>13</v>
      </c>
      <c r="D185" s="139">
        <f>SUM(D178:D184)</f>
        <v>14</v>
      </c>
      <c r="E185" s="116">
        <f>SUM(E178:E184)</f>
        <v>4</v>
      </c>
      <c r="F185" s="116">
        <f>SUM(F178:F184)</f>
        <v>2</v>
      </c>
      <c r="G185" s="220">
        <f t="shared" ref="G185:O185" si="20">SUM(G178:G184)</f>
        <v>20</v>
      </c>
      <c r="H185" s="285">
        <f t="shared" si="20"/>
        <v>22</v>
      </c>
      <c r="I185" s="115">
        <f t="shared" si="20"/>
        <v>20</v>
      </c>
      <c r="J185" s="116">
        <f t="shared" si="20"/>
        <v>0</v>
      </c>
      <c r="K185" s="116">
        <f t="shared" si="20"/>
        <v>0</v>
      </c>
      <c r="L185" s="116">
        <f t="shared" si="20"/>
        <v>0</v>
      </c>
      <c r="M185" s="116">
        <f t="shared" si="20"/>
        <v>0</v>
      </c>
      <c r="N185" s="116">
        <f t="shared" si="20"/>
        <v>0</v>
      </c>
      <c r="O185" s="117">
        <f t="shared" si="20"/>
        <v>0</v>
      </c>
      <c r="Q185" s="78"/>
      <c r="R185" s="78"/>
      <c r="S185" s="78"/>
      <c r="T185" s="78"/>
    </row>
    <row r="186" spans="1:20" ht="33" customHeight="1" thickBot="1"/>
    <row r="187" spans="1:20" ht="19.5" customHeight="1">
      <c r="A187" s="1861" t="s">
        <v>137</v>
      </c>
      <c r="B187" s="2037" t="s">
        <v>182</v>
      </c>
      <c r="C187" s="1865" t="s">
        <v>9</v>
      </c>
      <c r="D187" s="1867" t="s">
        <v>138</v>
      </c>
      <c r="E187" s="2038"/>
      <c r="F187" s="2038"/>
      <c r="G187" s="1869"/>
      <c r="H187" s="1870" t="s">
        <v>139</v>
      </c>
      <c r="I187" s="1865"/>
      <c r="J187" s="1865"/>
      <c r="K187" s="1865"/>
      <c r="L187" s="1871"/>
    </row>
    <row r="188" spans="1:20"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20" ht="15" customHeight="1">
      <c r="A189" s="2647">
        <v>372</v>
      </c>
      <c r="B189" s="1977" t="s">
        <v>547</v>
      </c>
      <c r="C189" s="290">
        <v>2014</v>
      </c>
      <c r="D189" s="133"/>
      <c r="E189" s="109"/>
      <c r="F189" s="109"/>
      <c r="G189" s="291">
        <f>SUM(D189:F189)</f>
        <v>0</v>
      </c>
      <c r="H189" s="108"/>
      <c r="I189" s="109"/>
      <c r="J189" s="109"/>
      <c r="K189" s="109"/>
      <c r="L189" s="134"/>
    </row>
    <row r="190" spans="1:20">
      <c r="A190" s="2648"/>
      <c r="B190" s="1855"/>
      <c r="C190" s="73">
        <v>2015</v>
      </c>
      <c r="D190" s="37">
        <v>70</v>
      </c>
      <c r="E190" s="38"/>
      <c r="F190" s="38"/>
      <c r="G190" s="291">
        <f t="shared" ref="G190:G195" si="21">SUM(D190:F190)</f>
        <v>70</v>
      </c>
      <c r="H190" s="112"/>
      <c r="I190" s="38"/>
      <c r="J190" s="38">
        <v>15</v>
      </c>
      <c r="K190" s="38">
        <v>5</v>
      </c>
      <c r="L190" s="88">
        <v>50</v>
      </c>
    </row>
    <row r="191" spans="1:20">
      <c r="A191" s="2648"/>
      <c r="B191" s="1855"/>
      <c r="C191" s="73">
        <v>2016</v>
      </c>
      <c r="D191" s="37">
        <v>140</v>
      </c>
      <c r="E191" s="38">
        <v>40</v>
      </c>
      <c r="F191" s="38"/>
      <c r="G191" s="291">
        <f t="shared" si="21"/>
        <v>180</v>
      </c>
      <c r="H191" s="112"/>
      <c r="I191" s="38"/>
      <c r="J191" s="38">
        <v>55</v>
      </c>
      <c r="K191" s="38">
        <v>5</v>
      </c>
      <c r="L191" s="59">
        <v>120</v>
      </c>
      <c r="M191" s="1723"/>
      <c r="N191" s="1724"/>
      <c r="O191" s="1724"/>
      <c r="P191" s="1724"/>
      <c r="Q191" s="1724"/>
      <c r="R191" s="1725"/>
    </row>
    <row r="192" spans="1:20">
      <c r="A192" s="2648"/>
      <c r="B192" s="1855"/>
      <c r="C192" s="73">
        <v>2017</v>
      </c>
      <c r="D192" s="37">
        <v>50</v>
      </c>
      <c r="E192" s="38">
        <v>72</v>
      </c>
      <c r="F192" s="38"/>
      <c r="G192" s="291">
        <f t="shared" si="21"/>
        <v>122</v>
      </c>
      <c r="H192" s="112"/>
      <c r="I192" s="38"/>
      <c r="J192" s="38">
        <v>40</v>
      </c>
      <c r="K192" s="38">
        <v>12</v>
      </c>
      <c r="L192" s="59">
        <v>70</v>
      </c>
      <c r="M192" s="1723"/>
      <c r="N192" s="2650"/>
      <c r="O192" s="2650"/>
      <c r="P192" s="2650"/>
      <c r="Q192" s="2650"/>
      <c r="R192" s="2651"/>
    </row>
    <row r="193" spans="1:14">
      <c r="A193" s="2648"/>
      <c r="B193" s="1855"/>
      <c r="C193" s="73">
        <v>2018</v>
      </c>
      <c r="D193" s="37"/>
      <c r="E193" s="38"/>
      <c r="F193" s="38"/>
      <c r="G193" s="291">
        <f t="shared" si="21"/>
        <v>0</v>
      </c>
      <c r="H193" s="112"/>
      <c r="I193" s="38"/>
      <c r="J193" s="38"/>
      <c r="K193" s="38"/>
      <c r="L193" s="88"/>
    </row>
    <row r="194" spans="1:14">
      <c r="A194" s="2648"/>
      <c r="B194" s="1855"/>
      <c r="C194" s="73">
        <v>2019</v>
      </c>
      <c r="D194" s="37"/>
      <c r="E194" s="38"/>
      <c r="F194" s="38"/>
      <c r="G194" s="291">
        <f t="shared" si="21"/>
        <v>0</v>
      </c>
      <c r="H194" s="112"/>
      <c r="I194" s="38"/>
      <c r="J194" s="38"/>
      <c r="K194" s="38"/>
      <c r="L194" s="88"/>
    </row>
    <row r="195" spans="1:14">
      <c r="A195" s="2648"/>
      <c r="B195" s="1855"/>
      <c r="C195" s="73">
        <v>2020</v>
      </c>
      <c r="D195" s="37"/>
      <c r="E195" s="38"/>
      <c r="F195" s="38"/>
      <c r="G195" s="291">
        <f t="shared" si="21"/>
        <v>0</v>
      </c>
      <c r="H195" s="112"/>
      <c r="I195" s="38"/>
      <c r="J195" s="38"/>
      <c r="K195" s="38"/>
      <c r="L195" s="88"/>
    </row>
    <row r="196" spans="1:14" ht="15.75" thickBot="1">
      <c r="A196" s="2649"/>
      <c r="B196" s="1857"/>
      <c r="C196" s="136" t="s">
        <v>13</v>
      </c>
      <c r="D196" s="139">
        <f t="shared" ref="D196:L196" si="22">SUM(D189:D195)</f>
        <v>260</v>
      </c>
      <c r="E196" s="116">
        <f t="shared" si="22"/>
        <v>112</v>
      </c>
      <c r="F196" s="116">
        <f t="shared" si="22"/>
        <v>0</v>
      </c>
      <c r="G196" s="292">
        <f t="shared" si="22"/>
        <v>372</v>
      </c>
      <c r="H196" s="115">
        <f t="shared" si="22"/>
        <v>0</v>
      </c>
      <c r="I196" s="116">
        <f t="shared" si="22"/>
        <v>0</v>
      </c>
      <c r="J196" s="116">
        <f t="shared" si="22"/>
        <v>110</v>
      </c>
      <c r="K196" s="116">
        <f t="shared" si="22"/>
        <v>22</v>
      </c>
      <c r="L196" s="117">
        <f t="shared" si="22"/>
        <v>240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2652">
        <v>0</v>
      </c>
      <c r="B202" s="2653"/>
      <c r="C202" s="72">
        <v>2014</v>
      </c>
      <c r="D202" s="30"/>
      <c r="E202" s="31"/>
      <c r="F202" s="31"/>
      <c r="G202" s="29"/>
      <c r="H202" s="305"/>
      <c r="I202" s="306"/>
      <c r="J202" s="307"/>
      <c r="K202" s="31"/>
      <c r="L202" s="34"/>
    </row>
    <row r="203" spans="1:14">
      <c r="A203" s="2652"/>
      <c r="B203" s="2653"/>
      <c r="C203" s="73">
        <v>2015</v>
      </c>
      <c r="D203" s="37"/>
      <c r="E203" s="38"/>
      <c r="F203" s="38"/>
      <c r="G203" s="36"/>
      <c r="H203" s="308"/>
      <c r="I203" s="309"/>
      <c r="J203" s="310"/>
      <c r="K203" s="38"/>
      <c r="L203" s="88"/>
    </row>
    <row r="204" spans="1:14">
      <c r="A204" s="2652"/>
      <c r="B204" s="2653"/>
      <c r="C204" s="73">
        <v>2016</v>
      </c>
      <c r="D204" s="37"/>
      <c r="E204" s="38"/>
      <c r="F204" s="38"/>
      <c r="G204" s="36"/>
      <c r="H204" s="308"/>
      <c r="I204" s="309"/>
      <c r="J204" s="310"/>
      <c r="K204" s="38"/>
      <c r="L204" s="88"/>
    </row>
    <row r="205" spans="1:14">
      <c r="A205" s="2652"/>
      <c r="B205" s="2653"/>
      <c r="C205" s="73">
        <v>2017</v>
      </c>
      <c r="D205" s="37"/>
      <c r="E205" s="38"/>
      <c r="F205" s="38"/>
      <c r="G205" s="36"/>
      <c r="H205" s="308"/>
      <c r="I205" s="309"/>
      <c r="J205" s="310"/>
      <c r="K205" s="38"/>
      <c r="L205" s="88"/>
    </row>
    <row r="206" spans="1:14">
      <c r="A206" s="2652"/>
      <c r="B206" s="2653"/>
      <c r="C206" s="73">
        <v>2018</v>
      </c>
      <c r="D206" s="37"/>
      <c r="E206" s="38"/>
      <c r="F206" s="38"/>
      <c r="G206" s="36"/>
      <c r="H206" s="308"/>
      <c r="I206" s="309"/>
      <c r="J206" s="310"/>
      <c r="K206" s="38"/>
      <c r="L206" s="88"/>
    </row>
    <row r="207" spans="1:14">
      <c r="A207" s="2652"/>
      <c r="B207" s="2653"/>
      <c r="C207" s="73">
        <v>2019</v>
      </c>
      <c r="D207" s="37"/>
      <c r="E207" s="38"/>
      <c r="F207" s="38"/>
      <c r="G207" s="36"/>
      <c r="H207" s="308"/>
      <c r="I207" s="309"/>
      <c r="J207" s="310"/>
      <c r="K207" s="38"/>
      <c r="L207" s="88"/>
    </row>
    <row r="208" spans="1:14">
      <c r="A208" s="2652"/>
      <c r="B208" s="2653"/>
      <c r="C208" s="73">
        <v>2020</v>
      </c>
      <c r="D208" s="1533"/>
      <c r="E208" s="312"/>
      <c r="F208" s="312"/>
      <c r="G208" s="313"/>
      <c r="H208" s="314"/>
      <c r="I208" s="315"/>
      <c r="J208" s="316"/>
      <c r="K208" s="312"/>
      <c r="L208" s="317"/>
    </row>
    <row r="209" spans="1:12" ht="20.25" customHeight="1" thickBot="1">
      <c r="A209" s="2654"/>
      <c r="B209" s="2655"/>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548</v>
      </c>
      <c r="C213" s="72"/>
      <c r="D213" s="135">
        <v>7724.25</v>
      </c>
      <c r="E213" s="135">
        <v>267516.40999999997</v>
      </c>
      <c r="F213" s="1712">
        <f>SUM(F214:F217)</f>
        <v>95431.73000000001</v>
      </c>
      <c r="G213" s="135"/>
      <c r="H213" s="135"/>
      <c r="I213" s="326"/>
    </row>
    <row r="214" spans="1:12">
      <c r="A214" t="s">
        <v>164</v>
      </c>
      <c r="B214" s="1974"/>
      <c r="C214" s="72"/>
      <c r="D214" s="135">
        <v>0</v>
      </c>
      <c r="E214" s="135">
        <v>182485.99</v>
      </c>
      <c r="F214" s="1712">
        <v>1507.88</v>
      </c>
      <c r="G214" s="135"/>
      <c r="H214" s="135"/>
      <c r="I214" s="326"/>
    </row>
    <row r="215" spans="1:12">
      <c r="A215" t="s">
        <v>165</v>
      </c>
      <c r="B215" s="1974"/>
      <c r="C215" s="72"/>
      <c r="D215" s="135">
        <v>0</v>
      </c>
      <c r="E215" s="135">
        <v>0</v>
      </c>
      <c r="F215" s="1712"/>
      <c r="G215" s="135"/>
      <c r="H215" s="135"/>
      <c r="I215" s="326"/>
    </row>
    <row r="216" spans="1:12">
      <c r="A216" t="s">
        <v>166</v>
      </c>
      <c r="B216" s="1974"/>
      <c r="C216" s="72"/>
      <c r="D216" s="135">
        <v>0</v>
      </c>
      <c r="E216" s="135">
        <v>0</v>
      </c>
      <c r="F216" s="1712"/>
      <c r="G216" s="135"/>
      <c r="H216" s="135"/>
      <c r="I216" s="326"/>
    </row>
    <row r="217" spans="1:12">
      <c r="A217" t="s">
        <v>167</v>
      </c>
      <c r="B217" s="1974"/>
      <c r="C217" s="72"/>
      <c r="D217" s="135">
        <v>7724.25</v>
      </c>
      <c r="E217" s="135">
        <v>85030.42</v>
      </c>
      <c r="F217" s="1712">
        <v>93923.85</v>
      </c>
      <c r="G217" s="135"/>
      <c r="H217" s="135"/>
      <c r="I217" s="326"/>
    </row>
    <row r="218" spans="1:12" ht="30">
      <c r="A218" s="56" t="s">
        <v>168</v>
      </c>
      <c r="B218" s="1974"/>
      <c r="C218" s="72"/>
      <c r="D218" s="135">
        <v>98562.86</v>
      </c>
      <c r="E218" s="135">
        <v>106741.33</v>
      </c>
      <c r="F218" s="1712">
        <v>69372.97</v>
      </c>
      <c r="G218" s="135"/>
      <c r="H218" s="135"/>
      <c r="I218" s="326"/>
    </row>
    <row r="219" spans="1:12" ht="80.25" customHeight="1" thickBot="1">
      <c r="A219" s="1532"/>
      <c r="B219" s="1975"/>
      <c r="C219" s="42" t="s">
        <v>13</v>
      </c>
      <c r="D219" s="333">
        <f>SUM(D214:D218)</f>
        <v>106287.11</v>
      </c>
      <c r="E219" s="333">
        <f t="shared" ref="E219:I219" si="24">SUM(E214:E218)</f>
        <v>374257.74</v>
      </c>
      <c r="F219" s="333">
        <f t="shared" si="24"/>
        <v>164804.70000000001</v>
      </c>
      <c r="G219" s="333">
        <f t="shared" si="24"/>
        <v>0</v>
      </c>
      <c r="H219" s="333">
        <f t="shared" si="24"/>
        <v>0</v>
      </c>
      <c r="I219" s="333">
        <f t="shared" si="24"/>
        <v>0</v>
      </c>
    </row>
    <row r="227" spans="1:1">
      <c r="A227" s="56"/>
    </row>
  </sheetData>
  <mergeCells count="67">
    <mergeCell ref="D26:G26"/>
    <mergeCell ref="B1:J1"/>
    <mergeCell ref="F3:O3"/>
    <mergeCell ref="A4:O10"/>
    <mergeCell ref="D15:G15"/>
    <mergeCell ref="A17:B24"/>
    <mergeCell ref="A28:A35"/>
    <mergeCell ref="B28:B35"/>
    <mergeCell ref="A40:A47"/>
    <mergeCell ref="B40:B47"/>
    <mergeCell ref="A50:A58"/>
    <mergeCell ref="B50:B58"/>
    <mergeCell ref="C60:C61"/>
    <mergeCell ref="D60:D61"/>
    <mergeCell ref="A62:A69"/>
    <mergeCell ref="B62:B69"/>
    <mergeCell ref="C107:C108"/>
    <mergeCell ref="D107:D108"/>
    <mergeCell ref="A85:A92"/>
    <mergeCell ref="B85:B92"/>
    <mergeCell ref="A96:A97"/>
    <mergeCell ref="B96:B97"/>
    <mergeCell ref="C96:C97"/>
    <mergeCell ref="D96:E96"/>
    <mergeCell ref="A72:B79"/>
    <mergeCell ref="A60:A61"/>
    <mergeCell ref="A98:A105"/>
    <mergeCell ref="B98:B105"/>
    <mergeCell ref="A107:A108"/>
    <mergeCell ref="B107:B108"/>
    <mergeCell ref="A109:B116"/>
    <mergeCell ref="C118:C119"/>
    <mergeCell ref="D118:D119"/>
    <mergeCell ref="A118:A119"/>
    <mergeCell ref="B118:B119"/>
    <mergeCell ref="A129:A130"/>
    <mergeCell ref="B129:B130"/>
    <mergeCell ref="A131:A137"/>
    <mergeCell ref="B131:B137"/>
    <mergeCell ref="A120:B127"/>
    <mergeCell ref="A142:A143"/>
    <mergeCell ref="B142:B143"/>
    <mergeCell ref="C142:C143"/>
    <mergeCell ref="J142:N142"/>
    <mergeCell ref="A144:B151"/>
    <mergeCell ref="A153:A154"/>
    <mergeCell ref="B153:B154"/>
    <mergeCell ref="C153:C154"/>
    <mergeCell ref="A155:B162"/>
    <mergeCell ref="A165:B172"/>
    <mergeCell ref="A176:A177"/>
    <mergeCell ref="B176:B177"/>
    <mergeCell ref="C176:C177"/>
    <mergeCell ref="Q176:T176"/>
    <mergeCell ref="A178:A185"/>
    <mergeCell ref="B178:B185"/>
    <mergeCell ref="I176:O176"/>
    <mergeCell ref="A187:A188"/>
    <mergeCell ref="B187:B188"/>
    <mergeCell ref="C187:C188"/>
    <mergeCell ref="D187:G187"/>
    <mergeCell ref="H187:L187"/>
    <mergeCell ref="A189:A196"/>
    <mergeCell ref="B189:B196"/>
    <mergeCell ref="N192:R192"/>
    <mergeCell ref="A202:B209"/>
    <mergeCell ref="B213:B219"/>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3"/>
  <sheetViews>
    <sheetView topLeftCell="A10" workbookViewId="0">
      <selection activeCell="D219" sqref="D219:F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16" width="17.42578125" customWidth="1"/>
    <col min="17" max="17" width="30.85546875" customWidth="1"/>
    <col min="18" max="25" width="13.7109375" customWidth="1"/>
  </cols>
  <sheetData>
    <row r="1" spans="1:25" s="1" customFormat="1" ht="31.5">
      <c r="A1" s="334" t="s">
        <v>0</v>
      </c>
      <c r="B1" s="1943" t="s">
        <v>549</v>
      </c>
      <c r="C1" s="1944"/>
      <c r="D1" s="1944"/>
      <c r="E1" s="1944"/>
      <c r="F1" s="1944"/>
    </row>
    <row r="2" spans="1:25" s="1" customFormat="1" ht="20.100000000000001" customHeight="1" thickBot="1"/>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20.100000000000001"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0"/>
      <c r="P15" s="1"/>
      <c r="Q15" s="1"/>
      <c r="R15" s="1"/>
      <c r="S15" s="1"/>
      <c r="T15" s="1"/>
      <c r="U15" s="1"/>
      <c r="V15" s="1"/>
      <c r="W15" s="1"/>
      <c r="X15" s="1"/>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0" t="s">
        <v>21</v>
      </c>
      <c r="P16"/>
      <c r="Q16"/>
      <c r="R16"/>
      <c r="S16"/>
      <c r="T16"/>
      <c r="U16"/>
      <c r="V16"/>
      <c r="W16"/>
      <c r="X16"/>
      <c r="Y16" s="28"/>
    </row>
    <row r="17" spans="1:25" ht="15" customHeight="1">
      <c r="A17" s="1874"/>
      <c r="B17" s="1855"/>
      <c r="C17" s="29">
        <v>2014</v>
      </c>
      <c r="D17" s="30"/>
      <c r="E17" s="31"/>
      <c r="F17" s="31"/>
      <c r="G17" s="32">
        <f t="shared" ref="G17:G23" si="0">SUM(D17:F17)</f>
        <v>0</v>
      </c>
      <c r="H17" s="33"/>
      <c r="I17" s="31"/>
      <c r="J17" s="31"/>
      <c r="K17" s="31"/>
      <c r="L17" s="31"/>
      <c r="M17" s="31"/>
      <c r="N17" s="31"/>
      <c r="O17" s="29"/>
      <c r="Y17" s="35"/>
    </row>
    <row r="18" spans="1:25">
      <c r="A18" s="1854"/>
      <c r="B18" s="1855"/>
      <c r="C18" s="36">
        <v>2015</v>
      </c>
      <c r="D18" s="37">
        <v>1</v>
      </c>
      <c r="E18" s="38"/>
      <c r="F18" s="38"/>
      <c r="G18" s="32">
        <f t="shared" si="0"/>
        <v>1</v>
      </c>
      <c r="H18" s="39">
        <v>1</v>
      </c>
      <c r="I18" s="38"/>
      <c r="J18" s="38"/>
      <c r="K18" s="38"/>
      <c r="L18" s="38"/>
      <c r="M18" s="38"/>
      <c r="N18" s="38"/>
      <c r="O18" s="1726"/>
      <c r="P18" s="7"/>
      <c r="Q18" s="7"/>
      <c r="R18" s="7"/>
      <c r="S18" s="7"/>
      <c r="T18" s="7"/>
      <c r="U18" s="7"/>
      <c r="V18" s="7"/>
      <c r="W18" s="7"/>
      <c r="X18" s="7"/>
      <c r="Y18" s="35"/>
    </row>
    <row r="19" spans="1:25">
      <c r="A19" s="1854"/>
      <c r="B19" s="1855"/>
      <c r="C19" s="36">
        <v>2016</v>
      </c>
      <c r="D19" s="37">
        <v>5</v>
      </c>
      <c r="E19" s="38"/>
      <c r="F19" s="38"/>
      <c r="G19" s="32">
        <f t="shared" si="0"/>
        <v>5</v>
      </c>
      <c r="H19" s="39">
        <v>5</v>
      </c>
      <c r="I19" s="38"/>
      <c r="J19" s="38"/>
      <c r="K19" s="38"/>
      <c r="L19" s="38"/>
      <c r="M19" s="38"/>
      <c r="N19" s="38"/>
      <c r="O19" s="1726"/>
      <c r="Y19" s="35"/>
    </row>
    <row r="20" spans="1:25" ht="31.5">
      <c r="A20" s="1854"/>
      <c r="B20" s="1855"/>
      <c r="C20" s="36">
        <v>2017</v>
      </c>
      <c r="D20" s="37">
        <v>5</v>
      </c>
      <c r="E20" s="38"/>
      <c r="F20" s="38"/>
      <c r="G20" s="32">
        <f t="shared" si="0"/>
        <v>5</v>
      </c>
      <c r="H20" s="39">
        <v>5</v>
      </c>
      <c r="I20" s="38"/>
      <c r="J20" s="38"/>
      <c r="K20" s="38"/>
      <c r="L20" s="38"/>
      <c r="M20" s="38"/>
      <c r="N20" s="38"/>
      <c r="O20" s="1726"/>
      <c r="P20" s="1"/>
      <c r="Q20" s="1"/>
      <c r="R20" s="1"/>
      <c r="S20" s="1"/>
      <c r="T20" s="1"/>
      <c r="U20" s="1"/>
      <c r="V20" s="1"/>
      <c r="W20" s="1"/>
      <c r="X20" s="1"/>
      <c r="Y20" s="35"/>
    </row>
    <row r="21" spans="1:25">
      <c r="A21" s="1854"/>
      <c r="B21" s="1855"/>
      <c r="C21" s="36">
        <v>2018</v>
      </c>
      <c r="D21" s="37"/>
      <c r="E21" s="38"/>
      <c r="F21" s="38"/>
      <c r="G21" s="32">
        <f t="shared" si="0"/>
        <v>0</v>
      </c>
      <c r="H21" s="39"/>
      <c r="I21" s="38"/>
      <c r="J21" s="38"/>
      <c r="K21" s="38"/>
      <c r="L21" s="38"/>
      <c r="M21" s="38"/>
      <c r="N21" s="38"/>
      <c r="O21" s="1726"/>
      <c r="Y21" s="35"/>
    </row>
    <row r="22" spans="1:25">
      <c r="A22" s="1854"/>
      <c r="B22" s="1855"/>
      <c r="C22" s="41">
        <v>2019</v>
      </c>
      <c r="D22" s="37"/>
      <c r="E22" s="38"/>
      <c r="F22" s="38"/>
      <c r="G22" s="32">
        <f>SUM(D22:F22)</f>
        <v>0</v>
      </c>
      <c r="H22" s="39"/>
      <c r="I22" s="38"/>
      <c r="J22" s="38"/>
      <c r="K22" s="38"/>
      <c r="L22" s="38"/>
      <c r="M22" s="38"/>
      <c r="N22" s="38"/>
      <c r="O22" s="1726"/>
      <c r="Y22" s="35"/>
    </row>
    <row r="23" spans="1:25">
      <c r="A23" s="1854"/>
      <c r="B23" s="1855"/>
      <c r="C23" s="36">
        <v>2020</v>
      </c>
      <c r="D23" s="37"/>
      <c r="E23" s="38"/>
      <c r="F23" s="38"/>
      <c r="G23" s="32">
        <f t="shared" si="0"/>
        <v>0</v>
      </c>
      <c r="H23" s="39"/>
      <c r="I23" s="38"/>
      <c r="J23" s="38"/>
      <c r="K23" s="38"/>
      <c r="L23" s="38"/>
      <c r="M23" s="38"/>
      <c r="N23" s="38"/>
      <c r="O23" s="1726"/>
      <c r="P23" s="7"/>
      <c r="Q23" s="7"/>
      <c r="R23" s="7"/>
      <c r="S23" s="7"/>
      <c r="T23" s="7"/>
      <c r="U23" s="7"/>
      <c r="V23" s="7"/>
      <c r="W23" s="7"/>
      <c r="X23" s="7"/>
      <c r="Y23" s="35"/>
    </row>
    <row r="24" spans="1:25" ht="19.5" customHeight="1" thickBot="1">
      <c r="A24" s="1856"/>
      <c r="B24" s="1857"/>
      <c r="C24" s="42" t="s">
        <v>13</v>
      </c>
      <c r="D24" s="43">
        <f>SUM(D17:D23)</f>
        <v>11</v>
      </c>
      <c r="E24" s="44">
        <f>SUM(E17:E23)</f>
        <v>0</v>
      </c>
      <c r="F24" s="44">
        <f>SUM(F17:F23)</f>
        <v>0</v>
      </c>
      <c r="G24" s="45">
        <f>SUM(D24:F24)</f>
        <v>11</v>
      </c>
      <c r="H24" s="46">
        <f>SUM(H17:H23)</f>
        <v>11</v>
      </c>
      <c r="I24" s="47">
        <f>SUM(I17:I23)</f>
        <v>0</v>
      </c>
      <c r="J24" s="47">
        <f t="shared" ref="J24:N24" si="1">SUM(J17:J23)</f>
        <v>0</v>
      </c>
      <c r="K24" s="47">
        <f t="shared" si="1"/>
        <v>0</v>
      </c>
      <c r="L24" s="47">
        <f t="shared" si="1"/>
        <v>0</v>
      </c>
      <c r="M24" s="47">
        <f t="shared" si="1"/>
        <v>0</v>
      </c>
      <c r="N24" s="47">
        <f t="shared" si="1"/>
        <v>0</v>
      </c>
      <c r="O24" s="455">
        <f>SUM(O17:O23)</f>
        <v>0</v>
      </c>
      <c r="Y24" s="35"/>
    </row>
    <row r="25" spans="1:25" ht="15.75" thickBot="1">
      <c r="C25" s="49"/>
      <c r="H25" s="7"/>
      <c r="I25" s="7"/>
      <c r="J25" s="7"/>
      <c r="K25" s="7"/>
      <c r="L25" s="7"/>
      <c r="M25" s="7"/>
      <c r="N25" s="7"/>
      <c r="O25" s="7"/>
    </row>
    <row r="26" spans="1:25" s="51" customFormat="1" ht="30.75" customHeight="1">
      <c r="A26" s="515"/>
      <c r="B26" s="516"/>
      <c r="C26" s="50"/>
      <c r="D26" s="1959" t="s">
        <v>5</v>
      </c>
      <c r="E26" s="2071"/>
      <c r="F26" s="2071"/>
      <c r="G26" s="2072"/>
      <c r="H26" s="15"/>
      <c r="I26" s="16"/>
      <c r="J26" s="17"/>
      <c r="K26" s="17"/>
      <c r="L26" s="17"/>
      <c r="M26" s="17"/>
      <c r="N26" s="17"/>
      <c r="O26" s="15"/>
      <c r="P26"/>
      <c r="Q26"/>
      <c r="R26"/>
      <c r="S26"/>
      <c r="T26"/>
      <c r="U26"/>
      <c r="V26"/>
      <c r="W26"/>
      <c r="X26"/>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550</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137</v>
      </c>
      <c r="E29" s="38"/>
      <c r="F29" s="38"/>
      <c r="G29" s="58">
        <v>137</v>
      </c>
      <c r="H29" s="35"/>
      <c r="I29" s="35"/>
      <c r="J29" s="35"/>
      <c r="K29" s="35"/>
      <c r="L29" s="35"/>
      <c r="M29" s="35"/>
      <c r="N29" s="35"/>
      <c r="O29" s="35"/>
      <c r="P29" s="35"/>
      <c r="Q29" s="7"/>
    </row>
    <row r="30" spans="1:25">
      <c r="A30" s="1854"/>
      <c r="B30" s="1855"/>
      <c r="C30" s="59">
        <v>2016</v>
      </c>
      <c r="D30" s="39">
        <v>257</v>
      </c>
      <c r="E30" s="38"/>
      <c r="F30" s="38"/>
      <c r="G30" s="58">
        <v>257</v>
      </c>
      <c r="H30" s="7"/>
      <c r="I30" s="7"/>
      <c r="J30" s="7"/>
      <c r="K30" s="7"/>
      <c r="L30" s="7"/>
      <c r="M30" s="35"/>
      <c r="N30" s="35"/>
      <c r="O30" s="35"/>
      <c r="P30" s="35"/>
      <c r="Q30" s="7"/>
    </row>
    <row r="31" spans="1:25">
      <c r="A31" s="1854"/>
      <c r="B31" s="1855"/>
      <c r="C31" s="59">
        <v>2017</v>
      </c>
      <c r="D31" s="39">
        <v>263</v>
      </c>
      <c r="E31" s="38"/>
      <c r="F31" s="38"/>
      <c r="G31" s="58">
        <f t="shared" ref="G31:G35" si="2">SUM(D31:F31)</f>
        <v>263</v>
      </c>
      <c r="H31" s="35"/>
      <c r="I31" s="65"/>
      <c r="J31" s="65"/>
      <c r="K31" s="6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7"/>
      <c r="I33" s="7"/>
      <c r="J33" s="7"/>
      <c r="K33" s="7"/>
      <c r="L33" s="7"/>
      <c r="M33" s="35"/>
      <c r="N33" s="35"/>
      <c r="O33" s="35"/>
      <c r="P33" s="35"/>
      <c r="Q33" s="7"/>
    </row>
    <row r="34" spans="1:17">
      <c r="A34" s="1854"/>
      <c r="B34" s="1855"/>
      <c r="C34" s="59">
        <v>2020</v>
      </c>
      <c r="D34" s="39"/>
      <c r="E34" s="38"/>
      <c r="F34" s="38"/>
      <c r="G34" s="58">
        <f t="shared" si="2"/>
        <v>0</v>
      </c>
      <c r="H34" s="35"/>
      <c r="I34" s="65"/>
      <c r="J34" s="65"/>
      <c r="K34" s="65"/>
      <c r="M34" s="35"/>
      <c r="N34" s="35"/>
      <c r="O34" s="35"/>
      <c r="P34" s="35"/>
      <c r="Q34" s="7"/>
    </row>
    <row r="35" spans="1:17" ht="20.25" customHeight="1" thickBot="1">
      <c r="A35" s="1856"/>
      <c r="B35" s="1857"/>
      <c r="C35" s="61" t="s">
        <v>13</v>
      </c>
      <c r="D35" s="46">
        <f>SUM(D28:D34)</f>
        <v>657</v>
      </c>
      <c r="E35" s="44">
        <f>SUM(E28:E34)</f>
        <v>0</v>
      </c>
      <c r="F35" s="44">
        <f>SUM(F28:F34)</f>
        <v>0</v>
      </c>
      <c r="G35" s="48">
        <f t="shared" si="2"/>
        <v>657</v>
      </c>
      <c r="H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F38" s="35"/>
    </row>
    <row r="39" spans="1:17" ht="88.5" customHeight="1">
      <c r="A39" s="535" t="s">
        <v>26</v>
      </c>
      <c r="B39" s="536" t="s">
        <v>171</v>
      </c>
      <c r="C39" s="68" t="s">
        <v>9</v>
      </c>
      <c r="D39" s="69" t="s">
        <v>28</v>
      </c>
      <c r="E39" s="70" t="s">
        <v>29</v>
      </c>
      <c r="F39" s="7"/>
      <c r="G39" s="7"/>
      <c r="H39" s="7"/>
      <c r="I39" s="7"/>
      <c r="J39" s="7"/>
    </row>
    <row r="40" spans="1:17">
      <c r="A40" s="1874" t="s">
        <v>551</v>
      </c>
      <c r="B40" s="1855"/>
      <c r="C40" s="72">
        <v>2014</v>
      </c>
      <c r="D40" s="30"/>
      <c r="E40" s="29"/>
      <c r="F40" s="35"/>
      <c r="G40" s="65"/>
      <c r="H40" s="65"/>
      <c r="I40" s="65"/>
    </row>
    <row r="41" spans="1:17">
      <c r="A41" s="1854"/>
      <c r="B41" s="1855"/>
      <c r="C41" s="73">
        <v>2015</v>
      </c>
      <c r="D41" s="37"/>
      <c r="E41" s="36"/>
      <c r="F41" s="35"/>
    </row>
    <row r="42" spans="1:17">
      <c r="A42" s="1854"/>
      <c r="B42" s="1855"/>
      <c r="C42" s="73">
        <v>2016</v>
      </c>
      <c r="D42" s="37"/>
      <c r="E42" s="36"/>
      <c r="F42" s="7"/>
      <c r="G42" s="35"/>
      <c r="H42" s="35"/>
    </row>
    <row r="43" spans="1:17" ht="18.75">
      <c r="A43" s="1854"/>
      <c r="B43" s="1855"/>
      <c r="C43" s="73">
        <v>2017</v>
      </c>
      <c r="D43" s="37">
        <v>3135</v>
      </c>
      <c r="E43" s="36">
        <v>2514</v>
      </c>
      <c r="F43" s="172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3135</v>
      </c>
      <c r="E47" s="455">
        <f>SUM(E40:E46)</f>
        <v>2514</v>
      </c>
    </row>
    <row r="48" spans="1:17" s="35" customFormat="1" ht="15.75" thickBot="1">
      <c r="A48" s="539"/>
      <c r="B48" s="80"/>
      <c r="C48" s="81"/>
    </row>
    <row r="49" spans="1:24" ht="83.25" customHeight="1">
      <c r="A49" s="82" t="s">
        <v>32</v>
      </c>
      <c r="B49" s="536" t="s">
        <v>171</v>
      </c>
      <c r="C49" s="84" t="s">
        <v>9</v>
      </c>
      <c r="D49" s="69" t="s">
        <v>34</v>
      </c>
      <c r="E49" s="85" t="s">
        <v>35</v>
      </c>
      <c r="F49" s="85" t="s">
        <v>36</v>
      </c>
      <c r="G49" s="85" t="s">
        <v>37</v>
      </c>
      <c r="H49" s="85" t="s">
        <v>38</v>
      </c>
      <c r="I49" s="85" t="s">
        <v>39</v>
      </c>
      <c r="J49" s="85" t="s">
        <v>40</v>
      </c>
      <c r="K49" s="86" t="s">
        <v>41</v>
      </c>
    </row>
    <row r="50" spans="1:24" ht="17.25" customHeight="1">
      <c r="A50" s="1872"/>
      <c r="B50" s="1879"/>
      <c r="C50" s="87" t="s">
        <v>43</v>
      </c>
      <c r="D50" s="30"/>
      <c r="E50" s="31"/>
      <c r="F50" s="31"/>
      <c r="G50" s="31"/>
      <c r="H50" s="31"/>
      <c r="I50" s="31"/>
      <c r="J50" s="31"/>
      <c r="K50" s="34"/>
    </row>
    <row r="51" spans="1:24" ht="15" customHeight="1">
      <c r="A51" s="1874"/>
      <c r="B51" s="1881"/>
      <c r="C51" s="73">
        <v>2014</v>
      </c>
      <c r="D51" s="37"/>
      <c r="E51" s="38"/>
      <c r="F51" s="38"/>
      <c r="G51" s="38"/>
      <c r="H51" s="38"/>
      <c r="I51" s="38"/>
      <c r="J51" s="38"/>
      <c r="K51" s="88"/>
    </row>
    <row r="52" spans="1:24">
      <c r="A52" s="1874"/>
      <c r="B52" s="1881"/>
      <c r="C52" s="73">
        <v>2015</v>
      </c>
      <c r="D52" s="37"/>
      <c r="E52" s="38"/>
      <c r="F52" s="38"/>
      <c r="G52" s="38"/>
      <c r="H52" s="38"/>
      <c r="I52" s="38"/>
      <c r="J52" s="38"/>
      <c r="K52" s="88"/>
    </row>
    <row r="53" spans="1:24">
      <c r="A53" s="1874"/>
      <c r="B53" s="1881"/>
      <c r="C53" s="73">
        <v>2016</v>
      </c>
      <c r="D53" s="37"/>
      <c r="E53" s="38"/>
      <c r="F53" s="38"/>
      <c r="G53" s="38"/>
      <c r="H53" s="38"/>
      <c r="I53" s="38"/>
      <c r="J53" s="38"/>
      <c r="K53" s="88"/>
    </row>
    <row r="54" spans="1:24">
      <c r="A54" s="1874"/>
      <c r="B54" s="1881"/>
      <c r="C54" s="73">
        <v>2017</v>
      </c>
      <c r="D54" s="37"/>
      <c r="E54" s="38"/>
      <c r="F54" s="38"/>
      <c r="G54" s="38"/>
      <c r="H54" s="38"/>
      <c r="I54" s="38"/>
      <c r="J54" s="38"/>
      <c r="K54" s="88"/>
    </row>
    <row r="55" spans="1:24">
      <c r="A55" s="1874"/>
      <c r="B55" s="1881"/>
      <c r="C55" s="73">
        <v>2018</v>
      </c>
      <c r="D55" s="37"/>
      <c r="E55" s="38"/>
      <c r="F55" s="38"/>
      <c r="G55" s="38"/>
      <c r="H55" s="38"/>
      <c r="I55" s="38"/>
      <c r="J55" s="38"/>
      <c r="K55" s="88"/>
    </row>
    <row r="56" spans="1:24">
      <c r="A56" s="1874"/>
      <c r="B56" s="1881"/>
      <c r="C56" s="73">
        <v>2019</v>
      </c>
      <c r="D56" s="37"/>
      <c r="E56" s="38"/>
      <c r="F56" s="38"/>
      <c r="G56" s="38"/>
      <c r="H56" s="38"/>
      <c r="I56" s="38"/>
      <c r="J56" s="38"/>
      <c r="K56" s="88"/>
    </row>
    <row r="57" spans="1:24">
      <c r="A57" s="1874"/>
      <c r="B57" s="1881"/>
      <c r="C57" s="73">
        <v>2020</v>
      </c>
      <c r="D57" s="37"/>
      <c r="E57" s="38"/>
      <c r="F57" s="38"/>
      <c r="G57" s="38"/>
      <c r="H57" s="38"/>
      <c r="I57" s="38"/>
      <c r="J57" s="38"/>
      <c r="K57" s="93"/>
    </row>
    <row r="58" spans="1:24"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24" ht="15.75" thickBot="1"/>
    <row r="60" spans="1:24" ht="21" customHeight="1">
      <c r="A60" s="2073" t="s">
        <v>44</v>
      </c>
      <c r="B60" s="540"/>
      <c r="C60" s="2074" t="s">
        <v>9</v>
      </c>
      <c r="D60" s="2417" t="s">
        <v>45</v>
      </c>
      <c r="E60" s="96" t="s">
        <v>6</v>
      </c>
      <c r="F60" s="541"/>
      <c r="G60" s="541"/>
      <c r="H60" s="541"/>
      <c r="I60" s="541"/>
      <c r="J60" s="541"/>
      <c r="K60" s="541"/>
      <c r="L60" s="1728"/>
    </row>
    <row r="61" spans="1:24" ht="115.5" customHeight="1">
      <c r="A61" s="1970"/>
      <c r="B61" s="373" t="s">
        <v>171</v>
      </c>
      <c r="C61" s="1972"/>
      <c r="D61" s="1942"/>
      <c r="E61" s="100" t="s">
        <v>14</v>
      </c>
      <c r="F61" s="101" t="s">
        <v>15</v>
      </c>
      <c r="G61" s="101" t="s">
        <v>16</v>
      </c>
      <c r="H61" s="102" t="s">
        <v>17</v>
      </c>
      <c r="I61" s="102" t="s">
        <v>18</v>
      </c>
      <c r="J61" s="103" t="s">
        <v>19</v>
      </c>
      <c r="K61" s="101" t="s">
        <v>20</v>
      </c>
      <c r="L61" s="1729" t="s">
        <v>21</v>
      </c>
      <c r="V61" s="78"/>
      <c r="W61" s="78"/>
      <c r="X61" s="78"/>
    </row>
    <row r="62" spans="1:24">
      <c r="A62" s="1898"/>
      <c r="B62" s="1899"/>
      <c r="C62" s="106">
        <v>2014</v>
      </c>
      <c r="D62" s="107"/>
      <c r="E62" s="108"/>
      <c r="F62" s="109"/>
      <c r="G62" s="109"/>
      <c r="H62" s="109"/>
      <c r="I62" s="109"/>
      <c r="J62" s="109"/>
      <c r="K62" s="109"/>
      <c r="L62" s="29"/>
    </row>
    <row r="63" spans="1:24">
      <c r="A63" s="1891"/>
      <c r="B63" s="1899"/>
      <c r="C63" s="110">
        <v>2015</v>
      </c>
      <c r="D63" s="111"/>
      <c r="E63" s="112"/>
      <c r="F63" s="38"/>
      <c r="G63" s="38"/>
      <c r="H63" s="38"/>
      <c r="I63" s="38"/>
      <c r="J63" s="38"/>
      <c r="K63" s="38"/>
      <c r="L63" s="36"/>
    </row>
    <row r="64" spans="1:24">
      <c r="A64" s="1891"/>
      <c r="B64" s="1899"/>
      <c r="C64" s="110">
        <v>2016</v>
      </c>
      <c r="D64" s="111">
        <v>6</v>
      </c>
      <c r="E64" s="112">
        <v>6</v>
      </c>
      <c r="F64" s="38"/>
      <c r="G64" s="38"/>
      <c r="H64" s="38"/>
      <c r="I64" s="38"/>
      <c r="J64" s="38"/>
      <c r="K64" s="38"/>
      <c r="L64" s="36"/>
    </row>
    <row r="65" spans="1:20">
      <c r="A65" s="1891"/>
      <c r="B65" s="1899"/>
      <c r="C65" s="110">
        <v>2017</v>
      </c>
      <c r="D65" s="111">
        <v>2</v>
      </c>
      <c r="E65" s="112">
        <v>2</v>
      </c>
      <c r="F65" s="38"/>
      <c r="G65" s="38"/>
      <c r="H65" s="38"/>
      <c r="I65" s="38"/>
      <c r="J65" s="38"/>
      <c r="K65" s="38"/>
      <c r="L65" s="36"/>
    </row>
    <row r="66" spans="1:20">
      <c r="A66" s="1891"/>
      <c r="B66" s="1899"/>
      <c r="C66" s="110">
        <v>2018</v>
      </c>
      <c r="D66" s="111"/>
      <c r="E66" s="112"/>
      <c r="F66" s="38"/>
      <c r="G66" s="38"/>
      <c r="H66" s="38"/>
      <c r="I66" s="38"/>
      <c r="J66" s="38"/>
      <c r="K66" s="38"/>
      <c r="L66" s="36"/>
    </row>
    <row r="67" spans="1:20" ht="17.25" customHeight="1">
      <c r="A67" s="1891"/>
      <c r="B67" s="1899"/>
      <c r="C67" s="110">
        <v>2019</v>
      </c>
      <c r="D67" s="111"/>
      <c r="E67" s="112"/>
      <c r="F67" s="38"/>
      <c r="G67" s="38"/>
      <c r="H67" s="38"/>
      <c r="I67" s="38"/>
      <c r="J67" s="38"/>
      <c r="K67" s="38"/>
      <c r="L67" s="36"/>
    </row>
    <row r="68" spans="1:20" ht="16.5" customHeight="1">
      <c r="A68" s="1891"/>
      <c r="B68" s="1899"/>
      <c r="C68" s="110">
        <v>2020</v>
      </c>
      <c r="D68" s="111"/>
      <c r="E68" s="112"/>
      <c r="F68" s="38"/>
      <c r="G68" s="38"/>
      <c r="H68" s="38"/>
      <c r="I68" s="38"/>
      <c r="J68" s="38"/>
      <c r="K68" s="38"/>
      <c r="L68" s="36"/>
    </row>
    <row r="69" spans="1:20" ht="18" customHeight="1" thickBot="1">
      <c r="A69" s="1980"/>
      <c r="B69" s="1900"/>
      <c r="C69" s="113" t="s">
        <v>13</v>
      </c>
      <c r="D69" s="114">
        <f>SUM(D62:D68)</f>
        <v>8</v>
      </c>
      <c r="E69" s="115">
        <f>SUM(E62:E68)</f>
        <v>8</v>
      </c>
      <c r="F69" s="116">
        <f t="shared" ref="F69:I69" si="4">SUM(F62:F68)</f>
        <v>0</v>
      </c>
      <c r="G69" s="116">
        <f t="shared" si="4"/>
        <v>0</v>
      </c>
      <c r="H69" s="116">
        <f t="shared" si="4"/>
        <v>0</v>
      </c>
      <c r="I69" s="116">
        <f t="shared" si="4"/>
        <v>0</v>
      </c>
      <c r="J69" s="116"/>
      <c r="K69" s="116">
        <f>SUM(K62:K68)</f>
        <v>0</v>
      </c>
      <c r="L69" s="220">
        <f>SUM(L62:L68)</f>
        <v>0</v>
      </c>
    </row>
    <row r="70" spans="1:20" ht="20.25" customHeight="1" thickBot="1">
      <c r="A70" s="118"/>
      <c r="B70" s="119"/>
      <c r="C70" s="120"/>
      <c r="D70" s="121"/>
      <c r="E70" s="121"/>
      <c r="F70" s="121"/>
      <c r="G70" s="121"/>
      <c r="H70" s="120"/>
      <c r="I70" s="122"/>
      <c r="J70" s="122"/>
      <c r="K70" s="122"/>
      <c r="L70" s="122"/>
    </row>
    <row r="71" spans="1:20" ht="132" customHeight="1">
      <c r="A71" s="535" t="s">
        <v>47</v>
      </c>
      <c r="B71" s="536" t="s">
        <v>171</v>
      </c>
      <c r="C71" s="68" t="s">
        <v>9</v>
      </c>
      <c r="D71" s="123" t="s">
        <v>49</v>
      </c>
      <c r="E71" s="123" t="s">
        <v>50</v>
      </c>
      <c r="F71" s="124" t="s">
        <v>51</v>
      </c>
      <c r="G71" s="125" t="s">
        <v>52</v>
      </c>
      <c r="H71" s="126" t="s">
        <v>14</v>
      </c>
      <c r="I71" s="128" t="s">
        <v>15</v>
      </c>
      <c r="J71" s="128" t="s">
        <v>16</v>
      </c>
      <c r="K71" s="128" t="s">
        <v>17</v>
      </c>
      <c r="L71" s="128"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c r="E74" s="135">
        <v>2</v>
      </c>
      <c r="F74" s="135"/>
      <c r="G74" s="132">
        <f t="shared" si="5"/>
        <v>2</v>
      </c>
      <c r="H74" s="37">
        <v>2</v>
      </c>
      <c r="I74" s="37"/>
      <c r="J74" s="38"/>
      <c r="K74" s="38"/>
      <c r="L74" s="38"/>
      <c r="M74" s="38"/>
      <c r="N74" s="38"/>
      <c r="O74" s="88"/>
      <c r="P74" s="65"/>
      <c r="Q74" s="65"/>
      <c r="R74" s="65"/>
      <c r="S74" s="65"/>
      <c r="T74" s="65"/>
    </row>
    <row r="75" spans="1:20">
      <c r="A75" s="1854"/>
      <c r="B75" s="1899"/>
      <c r="C75" s="73">
        <v>2017</v>
      </c>
      <c r="D75" s="135"/>
      <c r="E75" s="135">
        <v>2</v>
      </c>
      <c r="F75" s="135"/>
      <c r="G75" s="132">
        <f t="shared" si="5"/>
        <v>2</v>
      </c>
      <c r="H75" s="37">
        <v>2</v>
      </c>
      <c r="I75" s="37"/>
      <c r="J75" s="38"/>
      <c r="K75" s="38"/>
      <c r="L75" s="38"/>
      <c r="M75" s="38"/>
      <c r="N75" s="38"/>
      <c r="O75" s="88"/>
      <c r="P75" s="65"/>
      <c r="Q75" s="65"/>
      <c r="R75" s="65"/>
      <c r="S75" s="65"/>
      <c r="T75" s="65"/>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4</v>
      </c>
      <c r="F79" s="114">
        <f>SUM(F72:F78)</f>
        <v>0</v>
      </c>
      <c r="G79" s="137">
        <f>SUM(G72:G78)</f>
        <v>4</v>
      </c>
      <c r="H79" s="138">
        <v>0</v>
      </c>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row>
    <row r="95" spans="1:16" s="65" customFormat="1" ht="15" customHeight="1" thickBot="1">
      <c r="A95" s="161"/>
      <c r="B95" s="161"/>
      <c r="N95"/>
      <c r="O95"/>
      <c r="P95"/>
    </row>
    <row r="96" spans="1:16" ht="29.25" customHeight="1">
      <c r="A96" s="2051" t="s">
        <v>68</v>
      </c>
      <c r="B96" s="2052" t="s">
        <v>179</v>
      </c>
      <c r="C96" s="2058" t="s">
        <v>9</v>
      </c>
      <c r="D96" s="1916" t="s">
        <v>70</v>
      </c>
      <c r="E96" s="1917"/>
      <c r="F96" s="162" t="s">
        <v>71</v>
      </c>
      <c r="G96" s="549"/>
      <c r="H96" s="549"/>
      <c r="I96" s="549"/>
      <c r="J96" s="549"/>
      <c r="K96" s="549"/>
      <c r="L96" s="549"/>
      <c r="M96" s="550"/>
    </row>
    <row r="97" spans="1:14"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row>
    <row r="98" spans="1:14" ht="17.25" customHeight="1">
      <c r="A98" s="1898"/>
      <c r="B98" s="1899"/>
      <c r="C98" s="106">
        <v>2014</v>
      </c>
      <c r="D98" s="30"/>
      <c r="E98" s="31"/>
      <c r="F98" s="174"/>
      <c r="G98" s="175"/>
      <c r="H98" s="175"/>
      <c r="I98" s="175"/>
      <c r="J98" s="175"/>
      <c r="K98" s="175"/>
      <c r="L98" s="175"/>
      <c r="M98" s="176"/>
    </row>
    <row r="99" spans="1:14" ht="16.5" customHeight="1">
      <c r="A99" s="1891"/>
      <c r="B99" s="1899"/>
      <c r="C99" s="110">
        <v>2015</v>
      </c>
      <c r="D99" s="37"/>
      <c r="E99" s="38"/>
      <c r="F99" s="177"/>
      <c r="G99" s="178"/>
      <c r="H99" s="178"/>
      <c r="I99" s="178"/>
      <c r="J99" s="178"/>
      <c r="K99" s="178"/>
      <c r="L99" s="178"/>
      <c r="M99" s="179"/>
    </row>
    <row r="100" spans="1:14" ht="16.5" customHeight="1">
      <c r="A100" s="1891"/>
      <c r="B100" s="1899"/>
      <c r="C100" s="110">
        <v>2016</v>
      </c>
      <c r="D100" s="37"/>
      <c r="E100" s="38"/>
      <c r="F100" s="177"/>
      <c r="G100" s="178"/>
      <c r="H100" s="178"/>
      <c r="I100" s="178"/>
      <c r="J100" s="178"/>
      <c r="K100" s="178"/>
      <c r="L100" s="178"/>
      <c r="M100" s="179"/>
    </row>
    <row r="101" spans="1:14" ht="16.5" customHeight="1">
      <c r="A101" s="1891"/>
      <c r="B101" s="1899"/>
      <c r="C101" s="110">
        <v>2017</v>
      </c>
      <c r="D101" s="37"/>
      <c r="E101" s="38"/>
      <c r="F101" s="177"/>
      <c r="G101" s="178"/>
      <c r="H101" s="178"/>
      <c r="I101" s="178"/>
      <c r="J101" s="178"/>
      <c r="K101" s="178"/>
      <c r="L101" s="178"/>
      <c r="M101" s="179"/>
    </row>
    <row r="102" spans="1:14" ht="15.75" customHeight="1">
      <c r="A102" s="1891"/>
      <c r="B102" s="1899"/>
      <c r="C102" s="110">
        <v>2018</v>
      </c>
      <c r="D102" s="37"/>
      <c r="E102" s="38"/>
      <c r="F102" s="177"/>
      <c r="G102" s="178"/>
      <c r="H102" s="178"/>
      <c r="I102" s="178"/>
      <c r="J102" s="178"/>
      <c r="K102" s="178"/>
      <c r="L102" s="178"/>
      <c r="M102" s="179"/>
    </row>
    <row r="103" spans="1:14" ht="14.25" customHeight="1">
      <c r="A103" s="1891"/>
      <c r="B103" s="1899"/>
      <c r="C103" s="110">
        <v>2019</v>
      </c>
      <c r="D103" s="37"/>
      <c r="E103" s="38"/>
      <c r="F103" s="177"/>
      <c r="G103" s="178"/>
      <c r="H103" s="178"/>
      <c r="I103" s="178"/>
      <c r="J103" s="178"/>
      <c r="K103" s="178"/>
      <c r="L103" s="178"/>
      <c r="M103" s="179"/>
    </row>
    <row r="104" spans="1:14" ht="14.25" customHeight="1">
      <c r="A104" s="1891"/>
      <c r="B104" s="1899"/>
      <c r="C104" s="110">
        <v>2020</v>
      </c>
      <c r="D104" s="37"/>
      <c r="E104" s="38"/>
      <c r="F104" s="177"/>
      <c r="G104" s="178"/>
      <c r="H104" s="178"/>
      <c r="I104" s="178"/>
      <c r="J104" s="178"/>
      <c r="K104" s="178"/>
      <c r="L104" s="178"/>
      <c r="M104" s="179"/>
    </row>
    <row r="105" spans="1:14" ht="19.5" customHeight="1" thickBot="1">
      <c r="A105" s="1915"/>
      <c r="B105" s="1900"/>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row>
    <row r="106" spans="1:14" ht="15.75" thickBot="1">
      <c r="A106" s="183"/>
      <c r="B106" s="183"/>
      <c r="C106" s="184"/>
      <c r="D106" s="7"/>
      <c r="E106" s="7"/>
      <c r="H106" s="185"/>
      <c r="I106" s="185"/>
      <c r="J106" s="185"/>
      <c r="K106" s="185"/>
      <c r="L106" s="185"/>
      <c r="M106" s="185"/>
      <c r="N106" s="185"/>
    </row>
    <row r="107" spans="1:14" ht="15" customHeight="1">
      <c r="A107" s="2051" t="s">
        <v>77</v>
      </c>
      <c r="B107" s="2052" t="s">
        <v>179</v>
      </c>
      <c r="C107" s="2058" t="s">
        <v>9</v>
      </c>
      <c r="D107" s="2414" t="s">
        <v>78</v>
      </c>
      <c r="E107" s="162" t="s">
        <v>79</v>
      </c>
      <c r="F107" s="549"/>
      <c r="G107" s="549"/>
      <c r="H107" s="549"/>
      <c r="I107" s="549"/>
      <c r="J107" s="549"/>
      <c r="K107" s="549"/>
      <c r="L107" s="550"/>
      <c r="M107" s="185"/>
      <c r="N107" s="185"/>
    </row>
    <row r="108" spans="1:14"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4">
      <c r="A109" s="1898"/>
      <c r="B109" s="1899"/>
      <c r="C109" s="106">
        <v>2014</v>
      </c>
      <c r="D109" s="31"/>
      <c r="E109" s="174"/>
      <c r="F109" s="175"/>
      <c r="G109" s="175"/>
      <c r="H109" s="175"/>
      <c r="I109" s="175"/>
      <c r="J109" s="175"/>
      <c r="K109" s="175"/>
      <c r="L109" s="176"/>
      <c r="M109" s="185"/>
      <c r="N109" s="185"/>
    </row>
    <row r="110" spans="1:14">
      <c r="A110" s="1891"/>
      <c r="B110" s="1899"/>
      <c r="C110" s="110">
        <v>2015</v>
      </c>
      <c r="D110" s="38"/>
      <c r="E110" s="177"/>
      <c r="F110" s="178"/>
      <c r="G110" s="178"/>
      <c r="H110" s="178"/>
      <c r="I110" s="178"/>
      <c r="J110" s="178"/>
      <c r="K110" s="178"/>
      <c r="L110" s="179"/>
      <c r="M110" s="185"/>
      <c r="N110" s="185"/>
    </row>
    <row r="111" spans="1:14">
      <c r="A111" s="1891"/>
      <c r="B111" s="1899"/>
      <c r="C111" s="110">
        <v>2016</v>
      </c>
      <c r="D111" s="38"/>
      <c r="E111" s="177"/>
      <c r="F111" s="178"/>
      <c r="G111" s="178"/>
      <c r="H111" s="178"/>
      <c r="I111" s="178"/>
      <c r="J111" s="178"/>
      <c r="K111" s="178"/>
      <c r="L111" s="179"/>
      <c r="M111" s="185"/>
      <c r="N111" s="185"/>
    </row>
    <row r="112" spans="1:14">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c r="E131" s="31"/>
      <c r="F131" s="31"/>
      <c r="G131" s="195">
        <f t="shared" ref="G131:G136" si="11">SUM(D131:F131)</f>
        <v>0</v>
      </c>
      <c r="H131" s="185"/>
      <c r="I131" s="185"/>
      <c r="J131" s="185"/>
      <c r="K131" s="185"/>
      <c r="L131" s="185"/>
      <c r="M131" s="185"/>
      <c r="N131" s="185"/>
    </row>
    <row r="132" spans="1:16">
      <c r="A132" s="1854"/>
      <c r="B132" s="1855"/>
      <c r="C132" s="110">
        <v>2016</v>
      </c>
      <c r="D132" s="37"/>
      <c r="E132" s="38"/>
      <c r="F132" s="38"/>
      <c r="G132" s="195">
        <f t="shared" si="11"/>
        <v>0</v>
      </c>
      <c r="H132" s="185"/>
      <c r="I132" s="185"/>
      <c r="J132" s="185"/>
      <c r="K132" s="185"/>
      <c r="L132" s="185"/>
      <c r="M132" s="185"/>
      <c r="N132" s="185"/>
    </row>
    <row r="133" spans="1:16">
      <c r="A133" s="1854"/>
      <c r="B133" s="1855"/>
      <c r="C133" s="110">
        <v>2017</v>
      </c>
      <c r="D133" s="37"/>
      <c r="E133" s="38"/>
      <c r="F133" s="38"/>
      <c r="G133" s="195">
        <f t="shared" si="11"/>
        <v>0</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row>
    <row r="141" spans="1:16" ht="21.75" customHeight="1" thickBot="1">
      <c r="A141" s="202"/>
      <c r="B141" s="119"/>
      <c r="C141" s="141"/>
      <c r="D141" s="78"/>
      <c r="E141" s="78"/>
      <c r="F141" s="78"/>
      <c r="G141" s="78"/>
      <c r="H141" s="78"/>
      <c r="I141" s="165"/>
      <c r="J141" s="165"/>
      <c r="K141" s="165"/>
      <c r="L141" s="165"/>
      <c r="M141" s="165"/>
      <c r="N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row>
    <row r="144" spans="1:16" ht="19.5" customHeight="1">
      <c r="A144" s="1898"/>
      <c r="B144" s="1899"/>
      <c r="C144" s="106">
        <v>2014</v>
      </c>
      <c r="D144" s="30"/>
      <c r="E144" s="30"/>
      <c r="F144" s="31"/>
      <c r="G144" s="175"/>
      <c r="H144" s="175"/>
      <c r="I144" s="213">
        <f>D144+F144+G144+H144</f>
        <v>0</v>
      </c>
      <c r="J144" s="214"/>
      <c r="K144" s="215"/>
      <c r="L144" s="214"/>
      <c r="M144" s="215"/>
      <c r="N144" s="216"/>
    </row>
    <row r="145" spans="1:14" ht="19.5" customHeight="1">
      <c r="A145" s="1891"/>
      <c r="B145" s="1899"/>
      <c r="C145" s="110">
        <v>2015</v>
      </c>
      <c r="D145" s="37"/>
      <c r="E145" s="37"/>
      <c r="F145" s="38"/>
      <c r="G145" s="178"/>
      <c r="H145" s="178"/>
      <c r="I145" s="213">
        <f t="shared" ref="I145:I150" si="13">D145+F145+G145+H145</f>
        <v>0</v>
      </c>
      <c r="J145" s="217"/>
      <c r="K145" s="218"/>
      <c r="L145" s="217"/>
      <c r="M145" s="218"/>
      <c r="N145" s="219"/>
    </row>
    <row r="146" spans="1:14" ht="20.25" customHeight="1">
      <c r="A146" s="1891"/>
      <c r="B146" s="1899"/>
      <c r="C146" s="110">
        <v>2016</v>
      </c>
      <c r="D146" s="37"/>
      <c r="E146" s="37"/>
      <c r="F146" s="38"/>
      <c r="G146" s="178"/>
      <c r="H146" s="178"/>
      <c r="I146" s="213">
        <f t="shared" si="13"/>
        <v>0</v>
      </c>
      <c r="J146" s="217"/>
      <c r="K146" s="218"/>
      <c r="L146" s="217"/>
      <c r="M146" s="218"/>
      <c r="N146" s="219"/>
    </row>
    <row r="147" spans="1:14" ht="17.25" customHeight="1">
      <c r="A147" s="1891"/>
      <c r="B147" s="1899"/>
      <c r="C147" s="110">
        <v>2017</v>
      </c>
      <c r="D147" s="37"/>
      <c r="E147" s="37"/>
      <c r="F147" s="38"/>
      <c r="G147" s="178"/>
      <c r="H147" s="178"/>
      <c r="I147" s="213">
        <f t="shared" si="13"/>
        <v>0</v>
      </c>
      <c r="J147" s="217"/>
      <c r="K147" s="218"/>
      <c r="L147" s="217"/>
      <c r="M147" s="218"/>
      <c r="N147" s="219"/>
    </row>
    <row r="148" spans="1:14" ht="19.5" customHeight="1">
      <c r="A148" s="1891"/>
      <c r="B148" s="1899"/>
      <c r="C148" s="110">
        <v>2018</v>
      </c>
      <c r="D148" s="37"/>
      <c r="E148" s="37"/>
      <c r="F148" s="38"/>
      <c r="G148" s="178"/>
      <c r="H148" s="178"/>
      <c r="I148" s="213">
        <f t="shared" si="13"/>
        <v>0</v>
      </c>
      <c r="J148" s="217"/>
      <c r="K148" s="218"/>
      <c r="L148" s="217"/>
      <c r="M148" s="218"/>
      <c r="N148" s="219"/>
    </row>
    <row r="149" spans="1:14" ht="19.5" customHeight="1">
      <c r="A149" s="1891"/>
      <c r="B149" s="1899"/>
      <c r="C149" s="110">
        <v>2019</v>
      </c>
      <c r="D149" s="37"/>
      <c r="E149" s="37"/>
      <c r="F149" s="38"/>
      <c r="G149" s="178"/>
      <c r="H149" s="178"/>
      <c r="I149" s="213">
        <f t="shared" si="13"/>
        <v>0</v>
      </c>
      <c r="J149" s="217"/>
      <c r="K149" s="218"/>
      <c r="L149" s="217"/>
      <c r="M149" s="218"/>
      <c r="N149" s="219"/>
    </row>
    <row r="150" spans="1:14" ht="18.75" customHeight="1">
      <c r="A150" s="1891"/>
      <c r="B150" s="1899"/>
      <c r="C150" s="110">
        <v>2020</v>
      </c>
      <c r="D150" s="37"/>
      <c r="E150" s="37"/>
      <c r="F150" s="38"/>
      <c r="G150" s="178"/>
      <c r="H150" s="178"/>
      <c r="I150" s="213">
        <f t="shared" si="13"/>
        <v>0</v>
      </c>
      <c r="J150" s="217"/>
      <c r="K150" s="218"/>
      <c r="L150" s="217"/>
      <c r="M150" s="218"/>
      <c r="N150" s="219"/>
    </row>
    <row r="151" spans="1:14"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row>
    <row r="152" spans="1:14" ht="27" customHeight="1" thickBot="1">
      <c r="B152" s="224"/>
    </row>
    <row r="153" spans="1:14" ht="35.25" customHeight="1">
      <c r="A153" s="2047" t="s">
        <v>105</v>
      </c>
      <c r="B153" s="2048" t="s">
        <v>179</v>
      </c>
      <c r="C153" s="2049" t="s">
        <v>9</v>
      </c>
      <c r="D153" s="557" t="s">
        <v>106</v>
      </c>
      <c r="E153" s="557"/>
      <c r="F153" s="558"/>
      <c r="G153" s="558"/>
      <c r="H153" s="557" t="s">
        <v>107</v>
      </c>
      <c r="I153" s="557"/>
      <c r="J153" s="559"/>
      <c r="K153" s="56"/>
      <c r="L153" s="56"/>
      <c r="M153" s="56"/>
      <c r="N153" s="56"/>
    </row>
    <row r="154" spans="1:14" ht="49.5" customHeight="1">
      <c r="A154" s="1902"/>
      <c r="B154" s="1904"/>
      <c r="C154" s="1906"/>
      <c r="D154" s="228" t="s">
        <v>108</v>
      </c>
      <c r="E154" s="229" t="s">
        <v>109</v>
      </c>
      <c r="F154" s="230" t="s">
        <v>110</v>
      </c>
      <c r="G154" s="231" t="s">
        <v>111</v>
      </c>
      <c r="H154" s="228" t="s">
        <v>112</v>
      </c>
      <c r="I154" s="229" t="s">
        <v>113</v>
      </c>
      <c r="J154" s="232" t="s">
        <v>103</v>
      </c>
      <c r="K154" s="56"/>
      <c r="L154" s="56"/>
      <c r="M154" s="56"/>
      <c r="N154" s="56"/>
    </row>
    <row r="155" spans="1:14" ht="18.75" customHeight="1">
      <c r="A155" s="1898"/>
      <c r="B155" s="1899"/>
      <c r="C155" s="233">
        <v>2014</v>
      </c>
      <c r="D155" s="214"/>
      <c r="E155" s="175"/>
      <c r="F155" s="215"/>
      <c r="G155" s="213">
        <f>SUM(D155:F155)</f>
        <v>0</v>
      </c>
      <c r="H155" s="214"/>
      <c r="I155" s="175"/>
      <c r="J155" s="176"/>
    </row>
    <row r="156" spans="1:14" ht="19.5" customHeight="1">
      <c r="A156" s="1891"/>
      <c r="B156" s="1899"/>
      <c r="C156" s="234">
        <v>2015</v>
      </c>
      <c r="D156" s="217"/>
      <c r="E156" s="178"/>
      <c r="F156" s="218"/>
      <c r="G156" s="213">
        <f t="shared" ref="G156:G161" si="15">SUM(D156:F156)</f>
        <v>0</v>
      </c>
      <c r="H156" s="217"/>
      <c r="I156" s="178"/>
      <c r="J156" s="179"/>
    </row>
    <row r="157" spans="1:14" ht="17.25" customHeight="1">
      <c r="A157" s="1891"/>
      <c r="B157" s="1899"/>
      <c r="C157" s="234">
        <v>2016</v>
      </c>
      <c r="D157" s="217"/>
      <c r="E157" s="178"/>
      <c r="F157" s="218"/>
      <c r="G157" s="213">
        <f t="shared" si="15"/>
        <v>0</v>
      </c>
      <c r="H157" s="217"/>
      <c r="I157" s="178"/>
      <c r="J157" s="179"/>
    </row>
    <row r="158" spans="1:14" ht="15" customHeight="1">
      <c r="A158" s="1891"/>
      <c r="B158" s="1899"/>
      <c r="C158" s="234">
        <v>2017</v>
      </c>
      <c r="D158" s="217"/>
      <c r="E158" s="178"/>
      <c r="F158" s="218"/>
      <c r="G158" s="213">
        <f t="shared" si="15"/>
        <v>0</v>
      </c>
      <c r="H158" s="217"/>
      <c r="I158" s="178"/>
      <c r="J158" s="179"/>
    </row>
    <row r="159" spans="1:14" ht="19.5" customHeight="1">
      <c r="A159" s="1891"/>
      <c r="B159" s="1899"/>
      <c r="C159" s="234">
        <v>2018</v>
      </c>
      <c r="D159" s="217"/>
      <c r="E159" s="178"/>
      <c r="F159" s="218"/>
      <c r="G159" s="213">
        <f t="shared" si="15"/>
        <v>0</v>
      </c>
      <c r="H159" s="217"/>
      <c r="I159" s="178"/>
      <c r="J159" s="179"/>
    </row>
    <row r="160" spans="1:14" ht="15" customHeight="1">
      <c r="A160" s="1891"/>
      <c r="B160" s="1899"/>
      <c r="C160" s="234">
        <v>2019</v>
      </c>
      <c r="D160" s="217"/>
      <c r="E160" s="178"/>
      <c r="F160" s="218"/>
      <c r="G160" s="213">
        <f t="shared" si="15"/>
        <v>0</v>
      </c>
      <c r="H160" s="217"/>
      <c r="I160" s="178"/>
      <c r="J160" s="179"/>
    </row>
    <row r="161" spans="1:18" ht="17.25" customHeight="1">
      <c r="A161" s="1891"/>
      <c r="B161" s="1899"/>
      <c r="C161" s="234">
        <v>2020</v>
      </c>
      <c r="D161" s="217"/>
      <c r="E161" s="178"/>
      <c r="F161" s="218"/>
      <c r="G161" s="213">
        <f t="shared" si="15"/>
        <v>0</v>
      </c>
      <c r="H161" s="217"/>
      <c r="I161" s="178"/>
      <c r="J161" s="179"/>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1878"/>
      <c r="B165" s="1879"/>
      <c r="C165" s="251">
        <v>2014</v>
      </c>
      <c r="D165" s="175"/>
      <c r="E165" s="175"/>
      <c r="F165" s="175"/>
      <c r="G165" s="175"/>
      <c r="H165" s="175"/>
      <c r="I165" s="176"/>
      <c r="J165" s="252">
        <f>SUM(D165,F165,H165)</f>
        <v>0</v>
      </c>
      <c r="K165" s="253">
        <f>SUM(E165,G165,I165)</f>
        <v>0</v>
      </c>
      <c r="L165" s="1531"/>
    </row>
    <row r="166" spans="1:18">
      <c r="A166" s="1880"/>
      <c r="B166" s="1881"/>
      <c r="C166" s="254">
        <v>2015</v>
      </c>
      <c r="D166" s="255"/>
      <c r="E166" s="255"/>
      <c r="F166" s="255"/>
      <c r="G166" s="255"/>
      <c r="H166" s="255"/>
      <c r="I166" s="256"/>
      <c r="J166" s="407">
        <f t="shared" ref="J166:K171" si="17">SUM(D166,F166,H166)</f>
        <v>0</v>
      </c>
      <c r="K166" s="408">
        <f t="shared" si="17"/>
        <v>0</v>
      </c>
      <c r="L166" s="1531"/>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1531"/>
    </row>
    <row r="170" spans="1:18">
      <c r="A170" s="1880"/>
      <c r="B170" s="1881"/>
      <c r="C170" s="254">
        <v>2019</v>
      </c>
      <c r="D170" s="165"/>
      <c r="E170" s="255"/>
      <c r="F170" s="255"/>
      <c r="G170" s="255"/>
      <c r="H170" s="263"/>
      <c r="I170" s="256"/>
      <c r="J170" s="407">
        <f t="shared" si="17"/>
        <v>0</v>
      </c>
      <c r="K170" s="408">
        <f t="shared" si="17"/>
        <v>0</v>
      </c>
      <c r="L170" s="1531"/>
    </row>
    <row r="171" spans="1:18">
      <c r="A171" s="1880"/>
      <c r="B171" s="1881"/>
      <c r="C171" s="262">
        <v>2020</v>
      </c>
      <c r="D171" s="255"/>
      <c r="E171" s="255"/>
      <c r="F171" s="255"/>
      <c r="G171" s="255"/>
      <c r="H171" s="255"/>
      <c r="I171" s="256"/>
      <c r="J171" s="407">
        <f t="shared" si="17"/>
        <v>0</v>
      </c>
      <c r="K171" s="408">
        <f t="shared" si="17"/>
        <v>0</v>
      </c>
      <c r="L171" s="1531"/>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24" s="56" customFormat="1" ht="145.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c r="P177"/>
      <c r="Q177"/>
      <c r="R177"/>
      <c r="S177"/>
      <c r="T177"/>
      <c r="U177"/>
      <c r="V177"/>
      <c r="W177"/>
      <c r="X177"/>
    </row>
    <row r="178" spans="1:24" ht="15" customHeight="1">
      <c r="A178" s="1891" t="s">
        <v>552</v>
      </c>
      <c r="B178" s="1899"/>
      <c r="C178" s="106">
        <v>2014</v>
      </c>
      <c r="D178" s="30"/>
      <c r="E178" s="31"/>
      <c r="F178" s="31"/>
      <c r="G178" s="284">
        <f>SUM(D178:F178)</f>
        <v>0</v>
      </c>
      <c r="H178" s="155"/>
      <c r="I178" s="155"/>
      <c r="J178" s="31"/>
      <c r="K178" s="31"/>
      <c r="L178" s="31"/>
      <c r="M178" s="31"/>
      <c r="N178" s="31"/>
      <c r="O178" s="34"/>
    </row>
    <row r="179" spans="1:24">
      <c r="A179" s="1891"/>
      <c r="B179" s="1899"/>
      <c r="C179" s="110">
        <v>2015</v>
      </c>
      <c r="D179" s="37"/>
      <c r="E179" s="38"/>
      <c r="F179" s="38"/>
      <c r="G179" s="284">
        <f t="shared" ref="G179:G184" si="19">SUM(D179:F179)</f>
        <v>0</v>
      </c>
      <c r="H179" s="411"/>
      <c r="I179" s="112"/>
      <c r="J179" s="38"/>
      <c r="K179" s="38"/>
      <c r="L179" s="38"/>
      <c r="M179" s="38"/>
      <c r="N179" s="38"/>
      <c r="O179" s="88"/>
    </row>
    <row r="180" spans="1:24">
      <c r="A180" s="1891"/>
      <c r="B180" s="1899"/>
      <c r="C180" s="110">
        <v>2016</v>
      </c>
      <c r="D180" s="37">
        <v>3</v>
      </c>
      <c r="E180" s="38">
        <v>4</v>
      </c>
      <c r="F180" s="38"/>
      <c r="G180" s="284">
        <v>7</v>
      </c>
      <c r="H180" s="411">
        <v>15</v>
      </c>
      <c r="I180" s="112">
        <v>5</v>
      </c>
      <c r="J180" s="38"/>
      <c r="K180" s="38"/>
      <c r="L180" s="38"/>
      <c r="M180" s="38"/>
      <c r="N180" s="38"/>
      <c r="O180" s="88">
        <v>2</v>
      </c>
    </row>
    <row r="181" spans="1:24">
      <c r="A181" s="1891"/>
      <c r="B181" s="1899"/>
      <c r="C181" s="110">
        <v>2017</v>
      </c>
      <c r="D181" s="37">
        <v>3</v>
      </c>
      <c r="E181" s="38">
        <v>3</v>
      </c>
      <c r="F181" s="38"/>
      <c r="G181" s="284">
        <f t="shared" si="19"/>
        <v>6</v>
      </c>
      <c r="H181" s="411">
        <v>7</v>
      </c>
      <c r="I181" s="112">
        <v>6</v>
      </c>
      <c r="J181" s="38"/>
      <c r="K181" s="38"/>
      <c r="L181" s="38"/>
      <c r="M181" s="38"/>
      <c r="N181" s="38"/>
      <c r="O181" s="88"/>
    </row>
    <row r="182" spans="1:24">
      <c r="A182" s="1891"/>
      <c r="B182" s="1899"/>
      <c r="C182" s="110">
        <v>2018</v>
      </c>
      <c r="D182" s="37"/>
      <c r="E182" s="38"/>
      <c r="F182" s="38"/>
      <c r="G182" s="284">
        <f t="shared" si="19"/>
        <v>0</v>
      </c>
      <c r="H182" s="411"/>
      <c r="I182" s="112"/>
      <c r="J182" s="38"/>
      <c r="K182" s="38"/>
      <c r="L182" s="38"/>
      <c r="M182" s="38"/>
      <c r="N182" s="38"/>
      <c r="O182" s="88"/>
    </row>
    <row r="183" spans="1:24">
      <c r="A183" s="1891"/>
      <c r="B183" s="1899"/>
      <c r="C183" s="110">
        <v>2019</v>
      </c>
      <c r="D183" s="37"/>
      <c r="E183" s="38"/>
      <c r="F183" s="38"/>
      <c r="G183" s="284">
        <f t="shared" si="19"/>
        <v>0</v>
      </c>
      <c r="H183" s="411"/>
      <c r="I183" s="112"/>
      <c r="J183" s="38"/>
      <c r="K183" s="38"/>
      <c r="L183" s="38"/>
      <c r="M183" s="38"/>
      <c r="N183" s="38"/>
      <c r="O183" s="88"/>
      <c r="P183" s="199"/>
      <c r="Q183" s="199"/>
      <c r="R183" s="198"/>
      <c r="S183" s="65"/>
      <c r="T183" s="65"/>
      <c r="U183" s="65"/>
      <c r="V183" s="65"/>
      <c r="W183" s="65"/>
      <c r="X183" s="65"/>
    </row>
    <row r="184" spans="1:24">
      <c r="A184" s="1891"/>
      <c r="B184" s="1899"/>
      <c r="C184" s="110">
        <v>2020</v>
      </c>
      <c r="D184" s="37"/>
      <c r="E184" s="38"/>
      <c r="F184" s="38"/>
      <c r="G184" s="284">
        <f t="shared" si="19"/>
        <v>0</v>
      </c>
      <c r="H184" s="411"/>
      <c r="I184" s="112"/>
      <c r="J184" s="38"/>
      <c r="K184" s="38"/>
      <c r="L184" s="38"/>
      <c r="M184" s="38"/>
      <c r="N184" s="38"/>
      <c r="O184" s="88"/>
    </row>
    <row r="185" spans="1:24" ht="45" customHeight="1" thickBot="1">
      <c r="A185" s="1893"/>
      <c r="B185" s="1900"/>
      <c r="C185" s="113" t="s">
        <v>13</v>
      </c>
      <c r="D185" s="139">
        <f>SUM(D178:D184)</f>
        <v>6</v>
      </c>
      <c r="E185" s="116">
        <f>SUM(E178:E184)</f>
        <v>7</v>
      </c>
      <c r="F185" s="116">
        <f>SUM(F178:F184)</f>
        <v>0</v>
      </c>
      <c r="G185" s="220">
        <f t="shared" ref="G185:O185" si="20">SUM(G178:G184)</f>
        <v>13</v>
      </c>
      <c r="H185" s="285">
        <f t="shared" si="20"/>
        <v>22</v>
      </c>
      <c r="I185" s="115">
        <f t="shared" si="20"/>
        <v>11</v>
      </c>
      <c r="J185" s="116">
        <f t="shared" si="20"/>
        <v>0</v>
      </c>
      <c r="K185" s="116">
        <f t="shared" si="20"/>
        <v>0</v>
      </c>
      <c r="L185" s="116">
        <f t="shared" si="20"/>
        <v>0</v>
      </c>
      <c r="M185" s="116">
        <f t="shared" si="20"/>
        <v>0</v>
      </c>
      <c r="N185" s="116">
        <f t="shared" si="20"/>
        <v>0</v>
      </c>
      <c r="O185" s="117">
        <f t="shared" si="20"/>
        <v>2</v>
      </c>
    </row>
    <row r="186" spans="1:24" ht="33" customHeight="1" thickBot="1"/>
    <row r="187" spans="1:24" ht="19.5" customHeight="1">
      <c r="A187" s="1861" t="s">
        <v>137</v>
      </c>
      <c r="B187" s="2037" t="s">
        <v>182</v>
      </c>
      <c r="C187" s="1865" t="s">
        <v>9</v>
      </c>
      <c r="D187" s="1867" t="s">
        <v>138</v>
      </c>
      <c r="E187" s="2038"/>
      <c r="F187" s="2038"/>
      <c r="G187" s="1869"/>
      <c r="H187" s="1870" t="s">
        <v>139</v>
      </c>
      <c r="I187" s="1865"/>
      <c r="J187" s="1865"/>
      <c r="K187" s="1865"/>
      <c r="L187" s="1871"/>
    </row>
    <row r="188" spans="1:24"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24" ht="15" customHeight="1">
      <c r="A189" s="1872" t="s">
        <v>553</v>
      </c>
      <c r="B189" s="1977"/>
      <c r="C189" s="290">
        <v>2014</v>
      </c>
      <c r="D189" s="133"/>
      <c r="E189" s="109"/>
      <c r="F189" s="109"/>
      <c r="G189" s="291">
        <f>SUM(D189:F189)</f>
        <v>0</v>
      </c>
      <c r="H189" s="108"/>
      <c r="I189" s="109"/>
      <c r="J189" s="109"/>
      <c r="K189" s="109"/>
      <c r="L189" s="134"/>
    </row>
    <row r="190" spans="1:24">
      <c r="A190" s="1978"/>
      <c r="B190" s="1855"/>
      <c r="C190" s="73">
        <v>2015</v>
      </c>
      <c r="D190" s="37"/>
      <c r="E190" s="38"/>
      <c r="F190" s="38"/>
      <c r="G190" s="291">
        <f t="shared" ref="G190:G195" si="21">SUM(D190:F190)</f>
        <v>0</v>
      </c>
      <c r="H190" s="112"/>
      <c r="I190" s="38"/>
      <c r="J190" s="38"/>
      <c r="K190" s="38"/>
      <c r="L190" s="88"/>
    </row>
    <row r="191" spans="1:24">
      <c r="A191" s="1978"/>
      <c r="B191" s="1855"/>
      <c r="C191" s="73">
        <v>2016</v>
      </c>
      <c r="D191" s="37">
        <v>203</v>
      </c>
      <c r="E191" s="38">
        <v>112</v>
      </c>
      <c r="F191" s="38"/>
      <c r="G191" s="291">
        <f t="shared" si="21"/>
        <v>315</v>
      </c>
      <c r="H191" s="112">
        <v>3</v>
      </c>
      <c r="I191" s="38">
        <v>0</v>
      </c>
      <c r="J191" s="38">
        <v>102</v>
      </c>
      <c r="K191" s="38">
        <v>19</v>
      </c>
      <c r="L191" s="88">
        <v>191</v>
      </c>
    </row>
    <row r="192" spans="1:24">
      <c r="A192" s="1978"/>
      <c r="B192" s="1855"/>
      <c r="C192" s="73">
        <v>2017</v>
      </c>
      <c r="D192" s="37">
        <v>111</v>
      </c>
      <c r="E192" s="38">
        <v>96</v>
      </c>
      <c r="F192" s="38"/>
      <c r="G192" s="291">
        <f t="shared" si="21"/>
        <v>207</v>
      </c>
      <c r="H192" s="112">
        <v>0</v>
      </c>
      <c r="I192" s="38">
        <v>0</v>
      </c>
      <c r="J192" s="38">
        <v>55</v>
      </c>
      <c r="K192" s="38">
        <v>13</v>
      </c>
      <c r="L192" s="88">
        <v>139</v>
      </c>
      <c r="P192" s="199"/>
      <c r="Q192" s="199"/>
      <c r="R192" s="198"/>
      <c r="S192" s="65"/>
      <c r="T192" s="65"/>
      <c r="U192" s="65"/>
      <c r="V192" s="65"/>
      <c r="W192" s="65"/>
      <c r="X192" s="65"/>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314</v>
      </c>
      <c r="E196" s="116">
        <f t="shared" si="22"/>
        <v>208</v>
      </c>
      <c r="F196" s="116"/>
      <c r="G196" s="292">
        <f t="shared" si="22"/>
        <v>522</v>
      </c>
      <c r="H196" s="115">
        <f t="shared" si="22"/>
        <v>3</v>
      </c>
      <c r="I196" s="116">
        <f t="shared" si="22"/>
        <v>0</v>
      </c>
      <c r="J196" s="116">
        <f t="shared" si="22"/>
        <v>157</v>
      </c>
      <c r="K196" s="116">
        <f t="shared" si="22"/>
        <v>32</v>
      </c>
      <c r="L196" s="117">
        <f t="shared" si="22"/>
        <v>330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1533"/>
      <c r="E208" s="312"/>
      <c r="F208" s="312"/>
      <c r="G208" s="313"/>
      <c r="H208" s="314"/>
      <c r="I208" s="315"/>
      <c r="J208" s="316"/>
      <c r="K208" s="312"/>
      <c r="L208" s="317"/>
    </row>
    <row r="209" spans="1:14"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220">
        <f t="shared" si="23"/>
        <v>0</v>
      </c>
    </row>
    <row r="211" spans="1:14" ht="15.75" thickBot="1"/>
    <row r="212" spans="1:14" ht="29.25">
      <c r="A212" s="571" t="s">
        <v>161</v>
      </c>
      <c r="B212" s="322" t="s">
        <v>162</v>
      </c>
      <c r="C212" s="323">
        <v>2014</v>
      </c>
      <c r="D212" s="324">
        <v>2015</v>
      </c>
      <c r="E212" s="324">
        <v>2016</v>
      </c>
      <c r="F212" s="324">
        <v>2017</v>
      </c>
      <c r="G212" s="324">
        <v>2018</v>
      </c>
      <c r="H212" s="324">
        <v>2019</v>
      </c>
      <c r="I212" s="325">
        <v>2020</v>
      </c>
    </row>
    <row r="213" spans="1:14" ht="15" customHeight="1">
      <c r="A213" s="1531" t="s">
        <v>163</v>
      </c>
      <c r="B213" s="1973" t="s">
        <v>554</v>
      </c>
      <c r="C213" s="72"/>
      <c r="D213" s="1031">
        <v>9057.92</v>
      </c>
      <c r="E213" s="1031">
        <v>153429.97</v>
      </c>
      <c r="F213" s="1031">
        <f>SUM(F214:F217)</f>
        <v>73556.87</v>
      </c>
      <c r="G213" s="1031"/>
      <c r="H213" s="1031"/>
      <c r="I213" s="1730"/>
      <c r="J213">
        <f>SUM(D213:F213)</f>
        <v>236044.76</v>
      </c>
    </row>
    <row r="214" spans="1:14">
      <c r="A214" s="1531" t="s">
        <v>164</v>
      </c>
      <c r="B214" s="1974"/>
      <c r="C214" s="72"/>
      <c r="D214" s="1031">
        <v>9057.92</v>
      </c>
      <c r="E214" s="1031">
        <v>32056.34</v>
      </c>
      <c r="F214" s="1031">
        <v>29628.07</v>
      </c>
      <c r="G214" s="1031"/>
      <c r="H214" s="1031"/>
      <c r="I214" s="1730"/>
    </row>
    <row r="215" spans="1:14">
      <c r="A215" s="1531" t="s">
        <v>165</v>
      </c>
      <c r="B215" s="1974"/>
      <c r="C215" s="72"/>
      <c r="D215" s="1031"/>
      <c r="E215" s="1031"/>
      <c r="F215" s="1031"/>
      <c r="G215" s="1031"/>
      <c r="H215" s="1031"/>
      <c r="I215" s="1730"/>
    </row>
    <row r="216" spans="1:14">
      <c r="A216" s="1531" t="s">
        <v>166</v>
      </c>
      <c r="B216" s="1974"/>
      <c r="C216" s="72"/>
      <c r="D216" s="1031"/>
      <c r="E216" s="1031"/>
      <c r="F216" s="1031"/>
      <c r="G216" s="1031"/>
      <c r="H216" s="1031"/>
      <c r="I216" s="1730"/>
    </row>
    <row r="217" spans="1:14" ht="72.75" customHeight="1">
      <c r="A217" s="1531" t="s">
        <v>167</v>
      </c>
      <c r="B217" s="1974"/>
      <c r="C217" s="72"/>
      <c r="D217" s="1031"/>
      <c r="E217" s="1031">
        <v>121373.63</v>
      </c>
      <c r="F217" s="1731">
        <v>43928.800000000003</v>
      </c>
      <c r="G217" s="1031"/>
      <c r="H217" s="1031"/>
      <c r="I217" s="1730"/>
    </row>
    <row r="218" spans="1:14" ht="30">
      <c r="A218" s="448" t="s">
        <v>168</v>
      </c>
      <c r="B218" s="1974"/>
      <c r="C218" s="72"/>
      <c r="D218" s="1031">
        <v>91892.85</v>
      </c>
      <c r="E218" s="1031">
        <v>101706.53</v>
      </c>
      <c r="F218" s="1031">
        <v>117121.79</v>
      </c>
      <c r="G218" s="1031"/>
      <c r="H218" s="1031"/>
      <c r="I218" s="1730"/>
    </row>
    <row r="219" spans="1:14" ht="15.75" thickBot="1">
      <c r="A219" s="449"/>
      <c r="B219" s="1975"/>
      <c r="C219" s="42" t="s">
        <v>13</v>
      </c>
      <c r="D219" s="333">
        <f>SUM(D214:D218)</f>
        <v>100950.77</v>
      </c>
      <c r="E219" s="333">
        <f t="shared" ref="E219:I219" si="24">SUM(E214:E218)</f>
        <v>255136.5</v>
      </c>
      <c r="F219" s="1617">
        <f t="shared" si="24"/>
        <v>190678.65999999997</v>
      </c>
      <c r="G219" s="333">
        <f t="shared" si="24"/>
        <v>0</v>
      </c>
      <c r="H219" s="333">
        <f t="shared" si="24"/>
        <v>0</v>
      </c>
      <c r="I219" s="451">
        <f t="shared" si="24"/>
        <v>0</v>
      </c>
    </row>
    <row r="220" spans="1:14">
      <c r="N220" s="7"/>
    </row>
    <row r="221" spans="1:14" ht="49.5" customHeight="1">
      <c r="A221" s="7"/>
      <c r="B221" s="7"/>
      <c r="C221" s="7"/>
      <c r="D221" s="7"/>
      <c r="E221" s="7"/>
      <c r="F221" s="7"/>
      <c r="G221" s="7"/>
      <c r="H221" s="7"/>
      <c r="I221" s="7"/>
      <c r="J221" s="7"/>
      <c r="K221" s="7"/>
      <c r="L221" s="7"/>
      <c r="M221" s="7"/>
      <c r="N221" s="7"/>
    </row>
    <row r="222" spans="1:14">
      <c r="A222" s="7"/>
      <c r="B222" s="7"/>
      <c r="C222" s="7"/>
      <c r="D222" s="7"/>
      <c r="E222" s="7"/>
      <c r="F222" s="7"/>
      <c r="G222" s="7"/>
      <c r="H222" s="7"/>
      <c r="I222" s="7"/>
      <c r="J222" s="7"/>
      <c r="K222" s="7"/>
      <c r="L222" s="7"/>
      <c r="M222" s="7"/>
      <c r="N222" s="7"/>
    </row>
    <row r="223" spans="1:14">
      <c r="A223" s="7"/>
      <c r="B223" s="7"/>
      <c r="C223" s="7"/>
      <c r="D223" s="7"/>
      <c r="E223" s="7"/>
      <c r="F223" s="7"/>
      <c r="G223" s="7"/>
      <c r="H223" s="7"/>
      <c r="I223" s="7"/>
      <c r="J223" s="7"/>
      <c r="K223" s="7"/>
      <c r="L223" s="7"/>
      <c r="M223" s="7"/>
      <c r="N223" s="7"/>
    </row>
    <row r="224" spans="1:14">
      <c r="A224" s="7"/>
      <c r="B224" s="7"/>
      <c r="C224" s="7"/>
      <c r="D224" s="7"/>
      <c r="E224" s="7"/>
      <c r="F224" s="7"/>
      <c r="G224" s="7"/>
      <c r="H224" s="7"/>
      <c r="I224" s="7"/>
      <c r="J224" s="7"/>
      <c r="K224" s="7"/>
      <c r="L224" s="7"/>
      <c r="M224" s="7"/>
      <c r="N224" s="7"/>
    </row>
    <row r="225" spans="1:22">
      <c r="A225" s="7"/>
      <c r="B225" s="7"/>
      <c r="C225" s="7"/>
      <c r="D225" s="7"/>
      <c r="E225" s="7"/>
      <c r="F225" s="7"/>
      <c r="G225" s="7"/>
      <c r="H225" s="7"/>
      <c r="I225" s="7"/>
      <c r="J225" s="7"/>
      <c r="K225" s="7"/>
      <c r="L225" s="7"/>
      <c r="M225" s="7"/>
      <c r="N225" s="7"/>
    </row>
    <row r="226" spans="1:22" ht="24.75" customHeight="1">
      <c r="A226" s="7"/>
      <c r="B226" s="7"/>
      <c r="C226" s="7"/>
      <c r="D226" s="7"/>
      <c r="E226" s="7"/>
      <c r="F226" s="7"/>
      <c r="G226" s="7"/>
      <c r="H226" s="7"/>
      <c r="I226" s="7"/>
      <c r="J226" s="7"/>
      <c r="K226" s="7"/>
      <c r="L226" s="7"/>
      <c r="M226" s="7"/>
      <c r="N226" s="7"/>
    </row>
    <row r="227" spans="1:22">
      <c r="A227" s="7"/>
      <c r="B227" s="7"/>
      <c r="C227" s="7"/>
      <c r="D227" s="7"/>
      <c r="E227" s="7"/>
      <c r="F227" s="7"/>
      <c r="G227" s="7"/>
      <c r="H227" s="7"/>
      <c r="I227" s="7"/>
      <c r="J227" s="7"/>
      <c r="K227" s="7"/>
      <c r="L227" s="7"/>
      <c r="M227" s="7"/>
      <c r="N227" s="7"/>
    </row>
    <row r="228" spans="1:22">
      <c r="A228" s="7"/>
      <c r="B228" s="7"/>
      <c r="C228" s="7"/>
      <c r="D228" s="7"/>
      <c r="E228" s="7"/>
      <c r="F228" s="7"/>
      <c r="G228" s="7"/>
      <c r="H228" s="7"/>
      <c r="I228" s="7"/>
      <c r="J228" s="7"/>
      <c r="K228" s="7"/>
      <c r="L228" s="7"/>
      <c r="M228" s="7"/>
      <c r="N228" s="7"/>
    </row>
    <row r="229" spans="1:22">
      <c r="A229" s="7"/>
      <c r="B229" s="7"/>
      <c r="C229" s="7"/>
      <c r="D229" s="7"/>
      <c r="E229" s="7"/>
      <c r="F229" s="7"/>
      <c r="G229" s="7"/>
      <c r="H229" s="7"/>
      <c r="I229" s="7"/>
      <c r="J229" s="7"/>
      <c r="K229" s="7"/>
      <c r="L229" s="7"/>
      <c r="M229" s="7"/>
      <c r="N229" s="7"/>
    </row>
    <row r="230" spans="1:22">
      <c r="A230" s="7"/>
      <c r="B230" s="7"/>
      <c r="C230" s="7"/>
      <c r="D230" s="7"/>
      <c r="E230" s="7"/>
      <c r="F230" s="7"/>
      <c r="G230" s="7"/>
      <c r="H230" s="7"/>
      <c r="I230" s="7"/>
      <c r="J230" s="7"/>
      <c r="K230" s="7"/>
      <c r="L230" s="7"/>
      <c r="M230" s="7"/>
      <c r="N230" s="7"/>
    </row>
    <row r="231" spans="1:22">
      <c r="A231" s="7"/>
      <c r="B231" s="7"/>
      <c r="C231" s="7"/>
      <c r="D231" s="7"/>
      <c r="E231" s="7"/>
      <c r="F231" s="7"/>
      <c r="G231" s="7"/>
      <c r="H231" s="7"/>
      <c r="I231" s="7"/>
      <c r="J231" s="7"/>
      <c r="K231" s="7"/>
      <c r="L231" s="7"/>
      <c r="M231" s="7"/>
      <c r="N231" s="7"/>
    </row>
    <row r="232" spans="1:22">
      <c r="A232" s="7"/>
      <c r="B232" s="7"/>
      <c r="C232" s="7"/>
      <c r="D232" s="7"/>
      <c r="E232" s="7"/>
      <c r="F232" s="7"/>
      <c r="G232" s="7"/>
      <c r="H232" s="7"/>
      <c r="I232" s="7"/>
      <c r="J232" s="7"/>
      <c r="K232" s="7"/>
      <c r="L232" s="7"/>
      <c r="M232" s="7"/>
      <c r="N232" s="7"/>
      <c r="Q232" s="1732"/>
      <c r="R232" s="1732"/>
      <c r="S232" s="1732"/>
      <c r="T232" s="160"/>
      <c r="U232" s="160"/>
      <c r="V232" s="160"/>
    </row>
    <row r="233" spans="1:22">
      <c r="A233" s="7"/>
      <c r="B233" s="7"/>
      <c r="C233" s="7"/>
      <c r="D233" s="7"/>
      <c r="E233" s="7"/>
      <c r="F233" s="7"/>
      <c r="G233" s="7"/>
      <c r="H233" s="7"/>
      <c r="I233" s="7"/>
      <c r="J233" s="7"/>
      <c r="K233" s="7"/>
      <c r="L233" s="7"/>
      <c r="M233" s="7"/>
      <c r="N233" s="7"/>
    </row>
    <row r="234" spans="1:22">
      <c r="A234" s="7"/>
      <c r="B234" s="7"/>
      <c r="C234" s="7"/>
      <c r="D234" s="7"/>
      <c r="E234" s="7"/>
      <c r="F234" s="7"/>
      <c r="G234" s="7"/>
      <c r="H234" s="7"/>
      <c r="I234" s="7"/>
      <c r="J234" s="7"/>
      <c r="K234" s="7"/>
      <c r="L234" s="7"/>
      <c r="M234" s="7"/>
      <c r="N234" s="7"/>
    </row>
    <row r="235" spans="1:22">
      <c r="A235" s="7"/>
      <c r="B235" s="7"/>
      <c r="C235" s="7"/>
      <c r="D235" s="7"/>
      <c r="E235" s="7"/>
      <c r="F235" s="7"/>
      <c r="G235" s="7"/>
      <c r="H235" s="7"/>
      <c r="I235" s="7"/>
      <c r="J235" s="7"/>
      <c r="K235" s="7"/>
      <c r="L235" s="7"/>
      <c r="M235" s="7"/>
      <c r="N235" s="7"/>
    </row>
    <row r="236" spans="1:22">
      <c r="A236" s="7"/>
      <c r="B236" s="7"/>
      <c r="C236" s="7"/>
      <c r="D236" s="7"/>
      <c r="E236" s="7"/>
      <c r="F236" s="7"/>
      <c r="G236" s="7"/>
      <c r="H236" s="7"/>
      <c r="I236" s="7"/>
      <c r="J236" s="7"/>
      <c r="K236" s="7"/>
      <c r="L236" s="7"/>
      <c r="M236" s="7"/>
      <c r="N236" s="7"/>
    </row>
    <row r="237" spans="1:22">
      <c r="A237" s="7"/>
      <c r="B237" s="7"/>
      <c r="C237" s="7"/>
      <c r="D237" s="7"/>
      <c r="E237" s="7"/>
      <c r="F237" s="7"/>
      <c r="G237" s="7"/>
      <c r="H237" s="7"/>
      <c r="I237" s="7"/>
      <c r="J237" s="7"/>
      <c r="K237" s="7"/>
      <c r="L237" s="7"/>
      <c r="M237" s="7"/>
      <c r="N237" s="7"/>
    </row>
    <row r="238" spans="1:22">
      <c r="A238" s="7"/>
      <c r="B238" s="7"/>
      <c r="C238" s="7"/>
      <c r="D238" s="7"/>
      <c r="E238" s="7"/>
      <c r="F238" s="7"/>
      <c r="G238" s="7"/>
      <c r="H238" s="7"/>
      <c r="I238" s="7"/>
      <c r="J238" s="7"/>
      <c r="K238" s="7"/>
      <c r="L238" s="7"/>
      <c r="M238" s="7"/>
      <c r="N238" s="7"/>
    </row>
    <row r="239" spans="1:22" ht="40.5" customHeight="1">
      <c r="A239" s="7"/>
      <c r="B239" s="7"/>
      <c r="C239" s="7"/>
      <c r="D239" s="7"/>
      <c r="E239" s="7"/>
      <c r="F239" s="7"/>
      <c r="G239" s="7"/>
      <c r="H239" s="7"/>
      <c r="I239" s="7"/>
      <c r="J239" s="7"/>
      <c r="K239" s="7"/>
      <c r="L239" s="7"/>
      <c r="M239" s="7"/>
      <c r="N239" s="7"/>
    </row>
    <row r="240" spans="1:22">
      <c r="A240" s="7"/>
      <c r="B240" s="7"/>
      <c r="C240" s="7"/>
      <c r="D240" s="7"/>
      <c r="E240" s="7"/>
      <c r="F240" s="7"/>
      <c r="G240" s="7"/>
      <c r="H240" s="7"/>
      <c r="I240" s="7"/>
      <c r="J240" s="7"/>
      <c r="K240" s="7"/>
      <c r="L240" s="7"/>
      <c r="M240" s="7"/>
      <c r="N240" s="7"/>
    </row>
    <row r="241" spans="1:14">
      <c r="A241" s="7"/>
      <c r="B241" s="7"/>
      <c r="C241" s="7"/>
      <c r="D241" s="7"/>
      <c r="E241" s="7"/>
      <c r="F241" s="7"/>
      <c r="G241" s="7"/>
      <c r="H241" s="7"/>
      <c r="I241" s="7"/>
      <c r="J241" s="7"/>
      <c r="K241" s="7"/>
      <c r="L241" s="7"/>
      <c r="M241" s="7"/>
      <c r="N241" s="7"/>
    </row>
    <row r="242" spans="1:14">
      <c r="A242" s="7"/>
      <c r="B242" s="7"/>
      <c r="C242" s="7"/>
      <c r="D242" s="7"/>
      <c r="E242" s="7"/>
      <c r="F242" s="7"/>
      <c r="G242" s="7"/>
      <c r="H242" s="7"/>
      <c r="I242" s="7"/>
      <c r="J242" s="7"/>
      <c r="K242" s="7"/>
      <c r="L242" s="7"/>
      <c r="M242" s="7"/>
      <c r="N242" s="7"/>
    </row>
    <row r="243" spans="1:14">
      <c r="A243" s="7"/>
      <c r="B243" s="7"/>
      <c r="C243" s="7"/>
      <c r="D243" s="7"/>
      <c r="E243" s="7"/>
      <c r="F243" s="7"/>
      <c r="G243" s="7"/>
      <c r="H243" s="7"/>
      <c r="I243" s="7"/>
      <c r="J243" s="7"/>
      <c r="K243" s="7"/>
      <c r="L243" s="7"/>
      <c r="M243" s="7"/>
      <c r="N243" s="7"/>
    </row>
    <row r="244" spans="1:14">
      <c r="A244" s="7"/>
      <c r="B244" s="7"/>
      <c r="C244" s="7"/>
      <c r="D244" s="7"/>
      <c r="E244" s="7"/>
      <c r="F244" s="7"/>
      <c r="G244" s="7"/>
      <c r="H244" s="7"/>
      <c r="I244" s="7"/>
      <c r="J244" s="7"/>
      <c r="K244" s="7"/>
      <c r="L244" s="7"/>
      <c r="M244" s="7"/>
      <c r="N244" s="7"/>
    </row>
    <row r="245" spans="1:14">
      <c r="A245" s="7"/>
      <c r="B245" s="7"/>
      <c r="C245" s="7"/>
      <c r="D245" s="7"/>
      <c r="E245" s="7"/>
      <c r="F245" s="7"/>
      <c r="G245" s="7"/>
      <c r="H245" s="7"/>
      <c r="I245" s="7"/>
      <c r="J245" s="7"/>
      <c r="K245" s="7"/>
      <c r="L245" s="7"/>
      <c r="M245" s="7"/>
      <c r="N245" s="7"/>
    </row>
    <row r="246" spans="1:14">
      <c r="A246" s="7"/>
      <c r="B246" s="7"/>
      <c r="C246" s="7"/>
      <c r="D246" s="7"/>
      <c r="E246" s="7"/>
      <c r="F246" s="7"/>
      <c r="G246" s="7"/>
      <c r="H246" s="7"/>
      <c r="I246" s="7"/>
      <c r="J246" s="7"/>
      <c r="K246" s="7"/>
      <c r="L246" s="7"/>
      <c r="M246" s="7"/>
      <c r="N246" s="7"/>
    </row>
    <row r="247" spans="1:14">
      <c r="A247" s="7"/>
      <c r="B247" s="7"/>
      <c r="C247" s="7"/>
      <c r="D247" s="7"/>
      <c r="E247" s="7"/>
      <c r="F247" s="7"/>
      <c r="G247" s="7"/>
      <c r="H247" s="7"/>
      <c r="I247" s="7"/>
      <c r="J247" s="7"/>
      <c r="K247" s="7"/>
      <c r="L247" s="7"/>
      <c r="M247" s="7"/>
      <c r="N247" s="7"/>
    </row>
    <row r="248" spans="1:14">
      <c r="A248" s="7"/>
      <c r="B248" s="7"/>
      <c r="C248" s="7"/>
      <c r="D248" s="7"/>
      <c r="E248" s="7"/>
      <c r="F248" s="7"/>
      <c r="G248" s="7"/>
      <c r="H248" s="7"/>
      <c r="I248" s="7"/>
      <c r="J248" s="7"/>
      <c r="K248" s="7"/>
      <c r="L248" s="7"/>
      <c r="M248" s="7"/>
      <c r="N248" s="7"/>
    </row>
    <row r="249" spans="1:14">
      <c r="A249" s="7"/>
      <c r="B249" s="7"/>
      <c r="C249" s="7"/>
      <c r="D249" s="7"/>
      <c r="E249" s="7"/>
      <c r="F249" s="7"/>
      <c r="G249" s="7"/>
      <c r="H249" s="7"/>
      <c r="I249" s="7"/>
      <c r="J249" s="7"/>
      <c r="K249" s="7"/>
      <c r="L249" s="7"/>
      <c r="M249" s="7"/>
      <c r="N249" s="7"/>
    </row>
    <row r="250" spans="1:14">
      <c r="A250" s="7"/>
      <c r="B250" s="7"/>
      <c r="C250" s="7"/>
      <c r="D250" s="7"/>
      <c r="E250" s="7"/>
      <c r="F250" s="7"/>
      <c r="G250" s="7"/>
      <c r="H250" s="7"/>
      <c r="I250" s="7"/>
      <c r="J250" s="7"/>
      <c r="K250" s="7"/>
      <c r="L250" s="7"/>
      <c r="M250" s="7"/>
      <c r="N250" s="7"/>
    </row>
    <row r="251" spans="1:14">
      <c r="A251" s="7"/>
      <c r="B251" s="7"/>
      <c r="C251" s="7"/>
      <c r="D251" s="7"/>
      <c r="E251" s="7"/>
      <c r="F251" s="7"/>
      <c r="G251" s="7"/>
      <c r="H251" s="7"/>
      <c r="I251" s="7"/>
      <c r="J251" s="7"/>
      <c r="K251" s="7"/>
      <c r="L251" s="7"/>
      <c r="M251" s="7"/>
      <c r="N251" s="7"/>
    </row>
    <row r="252" spans="1:14">
      <c r="A252" s="7"/>
      <c r="B252" s="7"/>
      <c r="C252" s="7"/>
      <c r="D252" s="7"/>
      <c r="E252" s="7"/>
      <c r="F252" s="7"/>
      <c r="G252" s="7"/>
      <c r="H252" s="7"/>
      <c r="I252" s="7"/>
      <c r="J252" s="7"/>
      <c r="K252" s="7"/>
      <c r="L252" s="7"/>
      <c r="M252" s="7"/>
    </row>
    <row r="253" spans="1:14">
      <c r="A253" s="7"/>
      <c r="B253" s="7"/>
      <c r="C253" s="7"/>
      <c r="D253" s="7"/>
      <c r="E253" s="7"/>
      <c r="F253" s="7"/>
      <c r="G253" s="7"/>
      <c r="H253" s="7"/>
      <c r="I253" s="7"/>
      <c r="J253" s="7"/>
      <c r="K253" s="7"/>
      <c r="L253" s="7"/>
      <c r="M253" s="7"/>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A7" workbookViewId="0">
      <selection activeCell="F221" sqref="F22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2708" t="s">
        <v>555</v>
      </c>
      <c r="C1" s="2709"/>
      <c r="D1" s="2709"/>
      <c r="E1" s="2709"/>
      <c r="F1" s="2709"/>
    </row>
    <row r="2" spans="1:25" s="1" customFormat="1" ht="20.100000000000001" customHeight="1" thickBot="1">
      <c r="B2" s="1733" t="s">
        <v>564</v>
      </c>
    </row>
    <row r="3" spans="1:25" s="4" customFormat="1" ht="20.100000000000001" customHeight="1">
      <c r="A3" s="1536" t="s">
        <v>2</v>
      </c>
      <c r="B3" s="1585"/>
      <c r="C3" s="1585"/>
      <c r="D3" s="1585"/>
      <c r="E3" s="1585"/>
      <c r="F3" s="2418"/>
      <c r="G3" s="2418"/>
      <c r="H3" s="2418"/>
      <c r="I3" s="2418"/>
      <c r="J3" s="2418"/>
      <c r="K3" s="2418"/>
      <c r="L3" s="2418"/>
      <c r="M3" s="2418"/>
      <c r="N3" s="2418"/>
      <c r="O3" s="2522"/>
    </row>
    <row r="4" spans="1:25" s="4" customFormat="1" ht="20.100000000000001" customHeight="1">
      <c r="A4" s="2420" t="s">
        <v>170</v>
      </c>
      <c r="B4" s="1948"/>
      <c r="C4" s="1948"/>
      <c r="D4" s="1948"/>
      <c r="E4" s="1948"/>
      <c r="F4" s="1948"/>
      <c r="G4" s="1948"/>
      <c r="H4" s="1948"/>
      <c r="I4" s="1948"/>
      <c r="J4" s="1948"/>
      <c r="K4" s="1948"/>
      <c r="L4" s="1948"/>
      <c r="M4" s="1948"/>
      <c r="N4" s="1948"/>
      <c r="O4" s="1949"/>
    </row>
    <row r="5" spans="1:25" s="4" customFormat="1" ht="20.100000000000001" customHeight="1">
      <c r="A5" s="2420"/>
      <c r="B5" s="1948"/>
      <c r="C5" s="1948"/>
      <c r="D5" s="1948"/>
      <c r="E5" s="1948"/>
      <c r="F5" s="1948"/>
      <c r="G5" s="1948"/>
      <c r="H5" s="1948"/>
      <c r="I5" s="1948"/>
      <c r="J5" s="1948"/>
      <c r="K5" s="1948"/>
      <c r="L5" s="1948"/>
      <c r="M5" s="1948"/>
      <c r="N5" s="1948"/>
      <c r="O5" s="1949"/>
    </row>
    <row r="6" spans="1:25" s="4" customFormat="1" ht="20.100000000000001" customHeight="1">
      <c r="A6" s="2420"/>
      <c r="B6" s="1948"/>
      <c r="C6" s="1948"/>
      <c r="D6" s="1948"/>
      <c r="E6" s="1948"/>
      <c r="F6" s="1948"/>
      <c r="G6" s="1948"/>
      <c r="H6" s="1948"/>
      <c r="I6" s="1948"/>
      <c r="J6" s="1948"/>
      <c r="K6" s="1948"/>
      <c r="L6" s="1948"/>
      <c r="M6" s="1948"/>
      <c r="N6" s="1948"/>
      <c r="O6" s="1949"/>
    </row>
    <row r="7" spans="1:25" s="4" customFormat="1" ht="20.100000000000001" customHeight="1">
      <c r="A7" s="2420"/>
      <c r="B7" s="1948"/>
      <c r="C7" s="1948"/>
      <c r="D7" s="1948"/>
      <c r="E7" s="1948"/>
      <c r="F7" s="1948"/>
      <c r="G7" s="1948"/>
      <c r="H7" s="1948"/>
      <c r="I7" s="1948"/>
      <c r="J7" s="1948"/>
      <c r="K7" s="1948"/>
      <c r="L7" s="1948"/>
      <c r="M7" s="1948"/>
      <c r="N7" s="1948"/>
      <c r="O7" s="1949"/>
    </row>
    <row r="8" spans="1:25" s="4" customFormat="1" ht="20.100000000000001" customHeight="1">
      <c r="A8" s="2420"/>
      <c r="B8" s="1948"/>
      <c r="C8" s="1948"/>
      <c r="D8" s="1948"/>
      <c r="E8" s="1948"/>
      <c r="F8" s="1948"/>
      <c r="G8" s="1948"/>
      <c r="H8" s="1948"/>
      <c r="I8" s="1948"/>
      <c r="J8" s="1948"/>
      <c r="K8" s="1948"/>
      <c r="L8" s="1948"/>
      <c r="M8" s="1948"/>
      <c r="N8" s="1948"/>
      <c r="O8" s="1949"/>
    </row>
    <row r="9" spans="1:25" s="4" customFormat="1" ht="52.5" customHeight="1">
      <c r="A9" s="2420"/>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thickBo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710" t="s">
        <v>556</v>
      </c>
      <c r="B17" s="2711"/>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610"/>
      <c r="B18" s="2032"/>
      <c r="C18" s="36">
        <v>2015</v>
      </c>
      <c r="D18" s="37">
        <v>1</v>
      </c>
      <c r="E18" s="38"/>
      <c r="F18" s="38"/>
      <c r="G18" s="32">
        <f>SUM(D18:F18)</f>
        <v>1</v>
      </c>
      <c r="H18" s="39">
        <v>1</v>
      </c>
      <c r="I18" s="38"/>
      <c r="J18" s="38"/>
      <c r="K18" s="38"/>
      <c r="L18" s="38"/>
      <c r="M18" s="38"/>
      <c r="N18" s="38"/>
      <c r="O18" s="40"/>
      <c r="P18" s="35"/>
      <c r="Q18" s="35"/>
      <c r="R18" s="35"/>
      <c r="S18" s="35"/>
      <c r="T18" s="35"/>
      <c r="U18" s="35"/>
      <c r="V18" s="35"/>
      <c r="W18" s="35"/>
      <c r="X18" s="35"/>
      <c r="Y18" s="35"/>
    </row>
    <row r="19" spans="1:25">
      <c r="A19" s="2610"/>
      <c r="B19" s="2032"/>
      <c r="C19" s="36">
        <v>2016</v>
      </c>
      <c r="D19" s="37">
        <v>4</v>
      </c>
      <c r="E19" s="38"/>
      <c r="F19" s="38"/>
      <c r="G19" s="32">
        <f t="shared" si="0"/>
        <v>4</v>
      </c>
      <c r="H19" s="39">
        <v>2</v>
      </c>
      <c r="I19" s="38"/>
      <c r="J19" s="38"/>
      <c r="K19" s="38"/>
      <c r="L19" s="38"/>
      <c r="M19" s="38"/>
      <c r="N19" s="38"/>
      <c r="O19" s="40">
        <v>2</v>
      </c>
      <c r="P19" s="35"/>
      <c r="Q19" s="35"/>
      <c r="R19" s="35"/>
      <c r="S19" s="35"/>
      <c r="T19" s="35"/>
      <c r="U19" s="35"/>
      <c r="V19" s="35"/>
      <c r="W19" s="35"/>
      <c r="X19" s="35"/>
      <c r="Y19" s="35"/>
    </row>
    <row r="20" spans="1:25">
      <c r="A20" s="2610"/>
      <c r="B20" s="2032"/>
      <c r="C20" s="36">
        <v>2017</v>
      </c>
      <c r="D20" s="37">
        <v>8</v>
      </c>
      <c r="E20" s="38"/>
      <c r="F20" s="38"/>
      <c r="G20" s="32">
        <f t="shared" si="0"/>
        <v>8</v>
      </c>
      <c r="H20" s="39">
        <v>8</v>
      </c>
      <c r="I20" s="38"/>
      <c r="J20" s="38"/>
      <c r="K20" s="38"/>
      <c r="L20" s="38"/>
      <c r="M20" s="38"/>
      <c r="N20" s="38"/>
      <c r="O20" s="40">
        <v>2</v>
      </c>
      <c r="P20" s="35"/>
      <c r="Q20" s="35"/>
      <c r="R20" s="35"/>
      <c r="S20" s="35"/>
      <c r="T20" s="35"/>
      <c r="U20" s="35"/>
      <c r="V20" s="35"/>
      <c r="W20" s="35"/>
      <c r="X20" s="35"/>
      <c r="Y20" s="35"/>
    </row>
    <row r="21" spans="1:25">
      <c r="A21" s="2610"/>
      <c r="B21" s="2032"/>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610"/>
      <c r="B22" s="2032"/>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610"/>
      <c r="B23" s="2032"/>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409.5" customHeight="1" thickBot="1">
      <c r="A24" s="2612"/>
      <c r="B24" s="2033"/>
      <c r="C24" s="42" t="s">
        <v>13</v>
      </c>
      <c r="D24" s="43">
        <f>SUM(D17:D23)</f>
        <v>13</v>
      </c>
      <c r="E24" s="44">
        <f>SUM(E17:E23)</f>
        <v>0</v>
      </c>
      <c r="F24" s="44">
        <f>SUM(F17:F23)</f>
        <v>0</v>
      </c>
      <c r="G24" s="45">
        <f>SUM(D24:F24)</f>
        <v>13</v>
      </c>
      <c r="H24" s="46">
        <f>SUM(H17:H23)</f>
        <v>11</v>
      </c>
      <c r="I24" s="47">
        <f>SUM(I17:I23)</f>
        <v>0</v>
      </c>
      <c r="J24" s="47">
        <f t="shared" ref="J24:N24" si="1">SUM(J17:J23)</f>
        <v>0</v>
      </c>
      <c r="K24" s="47">
        <f t="shared" si="1"/>
        <v>0</v>
      </c>
      <c r="L24" s="47">
        <f t="shared" si="1"/>
        <v>0</v>
      </c>
      <c r="M24" s="47">
        <f t="shared" si="1"/>
        <v>0</v>
      </c>
      <c r="N24" s="47">
        <f t="shared" si="1"/>
        <v>0</v>
      </c>
      <c r="O24" s="48">
        <f>SUM(O17:O23)</f>
        <v>4</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55</v>
      </c>
      <c r="E29" s="38"/>
      <c r="F29" s="38"/>
      <c r="G29" s="58">
        <f t="shared" ref="G29:G35" si="2">SUM(D29:F29)</f>
        <v>55</v>
      </c>
      <c r="H29" s="35"/>
      <c r="I29" s="35"/>
      <c r="J29" s="35"/>
      <c r="K29" s="35"/>
      <c r="L29" s="35"/>
      <c r="M29" s="35"/>
      <c r="N29" s="35"/>
      <c r="O29" s="35"/>
      <c r="P29" s="35"/>
      <c r="Q29" s="7"/>
    </row>
    <row r="30" spans="1:25">
      <c r="A30" s="1854"/>
      <c r="B30" s="1855"/>
      <c r="C30" s="59">
        <v>2016</v>
      </c>
      <c r="D30" s="39">
        <v>285</v>
      </c>
      <c r="E30" s="38"/>
      <c r="F30" s="38"/>
      <c r="G30" s="58">
        <f t="shared" si="2"/>
        <v>285</v>
      </c>
      <c r="H30" s="35"/>
      <c r="I30" s="35"/>
      <c r="J30" s="35"/>
      <c r="K30" s="35"/>
      <c r="L30" s="35"/>
      <c r="M30" s="35"/>
      <c r="N30" s="35"/>
      <c r="O30" s="35"/>
      <c r="P30" s="35"/>
      <c r="Q30" s="7"/>
    </row>
    <row r="31" spans="1:25">
      <c r="A31" s="1854"/>
      <c r="B31" s="1855"/>
      <c r="C31" s="59">
        <v>2017</v>
      </c>
      <c r="D31" s="39">
        <v>565</v>
      </c>
      <c r="E31" s="38"/>
      <c r="F31" s="38"/>
      <c r="G31" s="58">
        <f t="shared" si="2"/>
        <v>565</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905</v>
      </c>
      <c r="E35" s="44">
        <f>SUM(E28:E34)</f>
        <v>0</v>
      </c>
      <c r="F35" s="44">
        <f>SUM(F28:F34)</f>
        <v>0</v>
      </c>
      <c r="G35" s="48">
        <f t="shared" si="2"/>
        <v>905</v>
      </c>
      <c r="H35" s="35"/>
      <c r="I35" s="35"/>
      <c r="J35" s="35"/>
      <c r="K35" s="35"/>
      <c r="L35" s="35"/>
      <c r="M35" s="35"/>
      <c r="N35" s="35"/>
      <c r="O35" s="35"/>
      <c r="P35" s="35"/>
      <c r="Q35" s="7"/>
    </row>
    <row r="36" spans="1:17">
      <c r="A36" s="1535"/>
      <c r="B36" s="1535"/>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2712" t="s">
        <v>557</v>
      </c>
      <c r="B40" s="2713"/>
      <c r="C40" s="72">
        <v>2014</v>
      </c>
      <c r="D40" s="30"/>
      <c r="E40" s="29"/>
      <c r="F40" s="7"/>
      <c r="G40" s="35"/>
      <c r="H40" s="35"/>
    </row>
    <row r="41" spans="1:17">
      <c r="A41" s="2712"/>
      <c r="B41" s="2713"/>
      <c r="C41" s="73">
        <v>2015</v>
      </c>
      <c r="D41" s="37"/>
      <c r="E41" s="36"/>
      <c r="F41" s="7"/>
      <c r="G41" s="35"/>
      <c r="H41" s="35"/>
    </row>
    <row r="42" spans="1:17">
      <c r="A42" s="2712"/>
      <c r="B42" s="2713"/>
      <c r="C42" s="73">
        <v>2016</v>
      </c>
      <c r="D42" s="37"/>
      <c r="E42" s="36"/>
      <c r="F42" s="7"/>
      <c r="G42" s="35"/>
      <c r="H42" s="35"/>
    </row>
    <row r="43" spans="1:17">
      <c r="A43" s="2712"/>
      <c r="B43" s="2713"/>
      <c r="C43" s="73">
        <v>2017</v>
      </c>
      <c r="D43" s="37"/>
      <c r="E43" s="36"/>
      <c r="F43" s="7"/>
      <c r="G43" s="35"/>
      <c r="H43" s="35"/>
    </row>
    <row r="44" spans="1:17">
      <c r="A44" s="2712"/>
      <c r="B44" s="2713"/>
      <c r="C44" s="73">
        <v>2018</v>
      </c>
      <c r="D44" s="37"/>
      <c r="E44" s="36"/>
      <c r="F44" s="7"/>
      <c r="G44" s="35"/>
      <c r="H44" s="35"/>
    </row>
    <row r="45" spans="1:17">
      <c r="A45" s="2712"/>
      <c r="B45" s="2713"/>
      <c r="C45" s="73">
        <v>2019</v>
      </c>
      <c r="D45" s="37"/>
      <c r="E45" s="36"/>
      <c r="F45" s="7"/>
      <c r="G45" s="35"/>
      <c r="H45" s="35"/>
    </row>
    <row r="46" spans="1:17">
      <c r="A46" s="2712"/>
      <c r="B46" s="2713"/>
      <c r="C46" s="73">
        <v>2020</v>
      </c>
      <c r="D46" s="37"/>
      <c r="E46" s="36"/>
      <c r="F46" s="7"/>
      <c r="G46" s="35"/>
      <c r="H46" s="35"/>
    </row>
    <row r="47" spans="1:17" ht="15.75" thickBot="1">
      <c r="A47" s="2714"/>
      <c r="B47" s="2715"/>
      <c r="C47" s="42" t="s">
        <v>13</v>
      </c>
      <c r="D47" s="43">
        <f>SUM(D40:D46)</f>
        <v>0</v>
      </c>
      <c r="E47" s="455">
        <f>SUM(E40:E46)</f>
        <v>0</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t="s">
        <v>558</v>
      </c>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2417"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608" t="s">
        <v>559</v>
      </c>
      <c r="B62" s="2060"/>
      <c r="C62" s="106">
        <v>2014</v>
      </c>
      <c r="D62" s="107"/>
      <c r="E62" s="108"/>
      <c r="F62" s="109"/>
      <c r="G62" s="109"/>
      <c r="H62" s="109"/>
      <c r="I62" s="109"/>
      <c r="J62" s="109"/>
      <c r="K62" s="109"/>
      <c r="L62" s="34"/>
      <c r="M62" s="7"/>
      <c r="N62" s="7"/>
      <c r="O62" s="7"/>
    </row>
    <row r="63" spans="1:15">
      <c r="A63" s="2608"/>
      <c r="B63" s="2060"/>
      <c r="C63" s="110">
        <v>2015</v>
      </c>
      <c r="D63" s="111"/>
      <c r="E63" s="112"/>
      <c r="F63" s="38"/>
      <c r="G63" s="38"/>
      <c r="H63" s="38"/>
      <c r="I63" s="38"/>
      <c r="J63" s="38"/>
      <c r="K63" s="38"/>
      <c r="L63" s="88"/>
      <c r="M63" s="7"/>
      <c r="N63" s="7"/>
      <c r="O63" s="7"/>
    </row>
    <row r="64" spans="1:15">
      <c r="A64" s="2608"/>
      <c r="B64" s="2060"/>
      <c r="C64" s="110">
        <v>2016</v>
      </c>
      <c r="D64" s="111">
        <v>25</v>
      </c>
      <c r="E64" s="112"/>
      <c r="F64" s="38">
        <v>23</v>
      </c>
      <c r="G64" s="38">
        <v>2</v>
      </c>
      <c r="H64" s="38"/>
      <c r="I64" s="38"/>
      <c r="J64" s="38"/>
      <c r="K64" s="38"/>
      <c r="L64" s="88"/>
      <c r="M64" s="7"/>
      <c r="N64" s="7"/>
      <c r="O64" s="7"/>
    </row>
    <row r="65" spans="1:20">
      <c r="A65" s="2608"/>
      <c r="B65" s="2060"/>
      <c r="C65" s="110">
        <v>2017</v>
      </c>
      <c r="D65" s="111">
        <v>8</v>
      </c>
      <c r="E65" s="112">
        <v>5</v>
      </c>
      <c r="F65" s="38"/>
      <c r="G65" s="38">
        <v>2</v>
      </c>
      <c r="H65" s="38">
        <v>1</v>
      </c>
      <c r="I65" s="38"/>
      <c r="J65" s="38"/>
      <c r="K65" s="38"/>
      <c r="L65" s="88"/>
      <c r="M65" s="7"/>
      <c r="N65" s="7"/>
      <c r="O65" s="7"/>
    </row>
    <row r="66" spans="1:20">
      <c r="A66" s="2608"/>
      <c r="B66" s="2060"/>
      <c r="C66" s="110">
        <v>2018</v>
      </c>
      <c r="D66" s="111"/>
      <c r="E66" s="112"/>
      <c r="F66" s="38"/>
      <c r="G66" s="38"/>
      <c r="H66" s="38"/>
      <c r="I66" s="38"/>
      <c r="J66" s="38"/>
      <c r="K66" s="38"/>
      <c r="L66" s="88"/>
      <c r="M66" s="7"/>
      <c r="N66" s="7"/>
      <c r="O66" s="7"/>
    </row>
    <row r="67" spans="1:20" ht="17.25" customHeight="1">
      <c r="A67" s="2608"/>
      <c r="B67" s="2060"/>
      <c r="C67" s="110">
        <v>2019</v>
      </c>
      <c r="D67" s="111"/>
      <c r="E67" s="112"/>
      <c r="F67" s="38"/>
      <c r="G67" s="38"/>
      <c r="H67" s="38"/>
      <c r="I67" s="38"/>
      <c r="J67" s="38"/>
      <c r="K67" s="38"/>
      <c r="L67" s="88"/>
      <c r="M67" s="7"/>
      <c r="N67" s="7"/>
      <c r="O67" s="7"/>
    </row>
    <row r="68" spans="1:20" ht="16.5" customHeight="1">
      <c r="A68" s="2608"/>
      <c r="B68" s="2060"/>
      <c r="C68" s="110">
        <v>2020</v>
      </c>
      <c r="D68" s="111"/>
      <c r="E68" s="112"/>
      <c r="F68" s="38"/>
      <c r="G68" s="38"/>
      <c r="H68" s="38"/>
      <c r="I68" s="38"/>
      <c r="J68" s="38"/>
      <c r="K68" s="38"/>
      <c r="L68" s="88"/>
      <c r="M68" s="78"/>
      <c r="N68" s="78"/>
      <c r="O68" s="78"/>
    </row>
    <row r="69" spans="1:20" ht="191.25" customHeight="1" thickBot="1">
      <c r="A69" s="2705"/>
      <c r="B69" s="2706"/>
      <c r="C69" s="113" t="s">
        <v>13</v>
      </c>
      <c r="D69" s="114">
        <f>SUM(D62:D68)</f>
        <v>33</v>
      </c>
      <c r="E69" s="115">
        <f>SUM(E62:E68)</f>
        <v>5</v>
      </c>
      <c r="F69" s="116">
        <f t="shared" ref="F69:I69" si="4">SUM(F62:F68)</f>
        <v>23</v>
      </c>
      <c r="G69" s="116">
        <f t="shared" si="4"/>
        <v>4</v>
      </c>
      <c r="H69" s="116">
        <f t="shared" si="4"/>
        <v>1</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v>0</v>
      </c>
      <c r="H73" s="37"/>
      <c r="I73" s="37"/>
      <c r="J73" s="38"/>
      <c r="K73" s="38"/>
      <c r="L73" s="38"/>
      <c r="M73" s="38"/>
      <c r="N73" s="38"/>
      <c r="O73" s="88"/>
    </row>
    <row r="74" spans="1:20">
      <c r="A74" s="1854"/>
      <c r="B74" s="1899"/>
      <c r="C74" s="73">
        <v>2016</v>
      </c>
      <c r="D74" s="135"/>
      <c r="E74" s="135"/>
      <c r="F74" s="135"/>
      <c r="G74" s="132">
        <v>0</v>
      </c>
      <c r="H74" s="37"/>
      <c r="I74" s="37"/>
      <c r="J74" s="38"/>
      <c r="K74" s="38"/>
      <c r="L74" s="38"/>
      <c r="M74" s="38"/>
      <c r="N74" s="38"/>
      <c r="O74" s="88"/>
    </row>
    <row r="75" spans="1:20">
      <c r="A75" s="1854"/>
      <c r="B75" s="1899"/>
      <c r="C75" s="73">
        <v>2017</v>
      </c>
      <c r="D75" s="135"/>
      <c r="E75" s="135"/>
      <c r="F75" s="135"/>
      <c r="G75" s="132">
        <f t="shared" ref="G75:G78" si="5">SUM(D75:F75)</f>
        <v>0</v>
      </c>
      <c r="H75" s="37"/>
      <c r="I75" s="37"/>
      <c r="J75" s="38"/>
      <c r="K75" s="38"/>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0</v>
      </c>
      <c r="E79" s="114">
        <f>SUM(E72:E78)</f>
        <v>0</v>
      </c>
      <c r="F79" s="114">
        <f>SUM(F72:F78)</f>
        <v>0</v>
      </c>
      <c r="G79" s="137">
        <f>SUM(G72:G78)</f>
        <v>0</v>
      </c>
      <c r="H79" s="138"/>
      <c r="I79" s="139">
        <f t="shared" ref="I79:O79" si="6">SUM(I72:I78)</f>
        <v>0</v>
      </c>
      <c r="J79" s="116">
        <f t="shared" si="6"/>
        <v>0</v>
      </c>
      <c r="K79" s="116">
        <f t="shared" si="6"/>
        <v>0</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2227"/>
      <c r="B85" s="2697"/>
      <c r="C85" s="72">
        <v>2014</v>
      </c>
      <c r="D85" s="154"/>
      <c r="E85" s="155"/>
      <c r="F85" s="31"/>
      <c r="G85" s="31"/>
      <c r="H85" s="31"/>
      <c r="I85" s="31"/>
      <c r="J85" s="31"/>
      <c r="K85" s="34"/>
    </row>
    <row r="86" spans="1:16">
      <c r="A86" s="2227"/>
      <c r="B86" s="2697"/>
      <c r="C86" s="73">
        <v>2015</v>
      </c>
      <c r="D86" s="156"/>
      <c r="E86" s="112"/>
      <c r="F86" s="38"/>
      <c r="G86" s="38"/>
      <c r="H86" s="38"/>
      <c r="I86" s="38"/>
      <c r="J86" s="38"/>
      <c r="K86" s="88"/>
    </row>
    <row r="87" spans="1:16">
      <c r="A87" s="2227"/>
      <c r="B87" s="2697"/>
      <c r="C87" s="73">
        <v>2016</v>
      </c>
      <c r="D87" s="156"/>
      <c r="E87" s="112"/>
      <c r="F87" s="38"/>
      <c r="G87" s="38"/>
      <c r="H87" s="38"/>
      <c r="I87" s="38"/>
      <c r="J87" s="38"/>
      <c r="K87" s="88"/>
    </row>
    <row r="88" spans="1:16">
      <c r="A88" s="2227"/>
      <c r="B88" s="2697"/>
      <c r="C88" s="73">
        <v>2017</v>
      </c>
      <c r="D88" s="156"/>
      <c r="E88" s="112"/>
      <c r="F88" s="38"/>
      <c r="G88" s="38"/>
      <c r="H88" s="38"/>
      <c r="I88" s="38"/>
      <c r="J88" s="38"/>
      <c r="K88" s="88"/>
    </row>
    <row r="89" spans="1:16">
      <c r="A89" s="2227"/>
      <c r="B89" s="2697"/>
      <c r="C89" s="73">
        <v>2018</v>
      </c>
      <c r="D89" s="156"/>
      <c r="E89" s="112"/>
      <c r="F89" s="38"/>
      <c r="G89" s="38"/>
      <c r="H89" s="38"/>
      <c r="I89" s="38"/>
      <c r="J89" s="38"/>
      <c r="K89" s="88"/>
    </row>
    <row r="90" spans="1:16">
      <c r="A90" s="2227"/>
      <c r="B90" s="2697"/>
      <c r="C90" s="73">
        <v>2019</v>
      </c>
      <c r="D90" s="156"/>
      <c r="E90" s="112"/>
      <c r="F90" s="38"/>
      <c r="G90" s="38"/>
      <c r="H90" s="38"/>
      <c r="I90" s="38"/>
      <c r="J90" s="38"/>
      <c r="K90" s="88"/>
    </row>
    <row r="91" spans="1:16">
      <c r="A91" s="2227"/>
      <c r="B91" s="2697"/>
      <c r="C91" s="73">
        <v>2020</v>
      </c>
      <c r="D91" s="156"/>
      <c r="E91" s="112"/>
      <c r="F91" s="38"/>
      <c r="G91" s="38"/>
      <c r="H91" s="38"/>
      <c r="I91" s="38"/>
      <c r="J91" s="38"/>
      <c r="K91" s="88"/>
    </row>
    <row r="92" spans="1:16" ht="18" customHeight="1" thickBot="1">
      <c r="A92" s="2707"/>
      <c r="B92" s="2698"/>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699"/>
      <c r="B98" s="2700"/>
      <c r="C98" s="106">
        <v>2014</v>
      </c>
      <c r="D98" s="30"/>
      <c r="E98" s="31"/>
      <c r="F98" s="174"/>
      <c r="G98" s="175"/>
      <c r="H98" s="175"/>
      <c r="I98" s="175"/>
      <c r="J98" s="175"/>
      <c r="K98" s="175"/>
      <c r="L98" s="175"/>
      <c r="M98" s="176"/>
      <c r="N98" s="165"/>
      <c r="O98" s="165"/>
      <c r="P98" s="165"/>
    </row>
    <row r="99" spans="1:16" ht="16.5" customHeight="1">
      <c r="A99" s="2701"/>
      <c r="B99" s="2700"/>
      <c r="C99" s="110">
        <v>2015</v>
      </c>
      <c r="D99" s="37"/>
      <c r="E99" s="38"/>
      <c r="F99" s="177"/>
      <c r="G99" s="178"/>
      <c r="H99" s="178"/>
      <c r="I99" s="178"/>
      <c r="J99" s="178"/>
      <c r="K99" s="178"/>
      <c r="L99" s="178"/>
      <c r="M99" s="179"/>
      <c r="N99" s="165"/>
      <c r="O99" s="165"/>
      <c r="P99" s="165"/>
    </row>
    <row r="100" spans="1:16" ht="16.5" customHeight="1">
      <c r="A100" s="2701"/>
      <c r="B100" s="2700"/>
      <c r="C100" s="110">
        <v>2016</v>
      </c>
      <c r="D100" s="37"/>
      <c r="E100" s="38"/>
      <c r="F100" s="177"/>
      <c r="G100" s="178"/>
      <c r="H100" s="178"/>
      <c r="I100" s="178"/>
      <c r="J100" s="178"/>
      <c r="K100" s="178"/>
      <c r="L100" s="178"/>
      <c r="M100" s="179"/>
      <c r="N100" s="165"/>
      <c r="O100" s="165"/>
      <c r="P100" s="165"/>
    </row>
    <row r="101" spans="1:16" ht="16.5" customHeight="1">
      <c r="A101" s="2701"/>
      <c r="B101" s="2700"/>
      <c r="C101" s="110">
        <v>2017</v>
      </c>
      <c r="D101" s="37"/>
      <c r="E101" s="38"/>
      <c r="F101" s="177"/>
      <c r="G101" s="178"/>
      <c r="H101" s="178"/>
      <c r="I101" s="178"/>
      <c r="J101" s="178"/>
      <c r="K101" s="178"/>
      <c r="L101" s="178"/>
      <c r="M101" s="179"/>
      <c r="N101" s="165"/>
      <c r="O101" s="165"/>
      <c r="P101" s="165"/>
    </row>
    <row r="102" spans="1:16" ht="15.75" customHeight="1">
      <c r="A102" s="2701"/>
      <c r="B102" s="2700"/>
      <c r="C102" s="110">
        <v>2018</v>
      </c>
      <c r="D102" s="37"/>
      <c r="E102" s="38"/>
      <c r="F102" s="177"/>
      <c r="G102" s="178"/>
      <c r="H102" s="178"/>
      <c r="I102" s="178"/>
      <c r="J102" s="178"/>
      <c r="K102" s="178"/>
      <c r="L102" s="178"/>
      <c r="M102" s="179"/>
      <c r="N102" s="165"/>
      <c r="O102" s="165"/>
      <c r="P102" s="165"/>
    </row>
    <row r="103" spans="1:16" ht="14.25" customHeight="1">
      <c r="A103" s="2701"/>
      <c r="B103" s="2700"/>
      <c r="C103" s="110">
        <v>2019</v>
      </c>
      <c r="D103" s="37"/>
      <c r="E103" s="38"/>
      <c r="F103" s="177"/>
      <c r="G103" s="178"/>
      <c r="H103" s="178"/>
      <c r="I103" s="178"/>
      <c r="J103" s="178"/>
      <c r="K103" s="178"/>
      <c r="L103" s="178"/>
      <c r="M103" s="179"/>
      <c r="N103" s="165"/>
      <c r="O103" s="165"/>
      <c r="P103" s="165"/>
    </row>
    <row r="104" spans="1:16" ht="14.25" customHeight="1">
      <c r="A104" s="2701"/>
      <c r="B104" s="2700"/>
      <c r="C104" s="110">
        <v>2020</v>
      </c>
      <c r="D104" s="37"/>
      <c r="E104" s="38"/>
      <c r="F104" s="177"/>
      <c r="G104" s="178"/>
      <c r="H104" s="178"/>
      <c r="I104" s="178"/>
      <c r="J104" s="178"/>
      <c r="K104" s="178"/>
      <c r="L104" s="178"/>
      <c r="M104" s="179"/>
      <c r="N104" s="165"/>
      <c r="O104" s="165"/>
      <c r="P104" s="165"/>
    </row>
    <row r="105" spans="1:16" ht="19.5" customHeight="1" thickBot="1">
      <c r="A105" s="2702"/>
      <c r="B105" s="2703"/>
      <c r="C105" s="113" t="s">
        <v>13</v>
      </c>
      <c r="D105" s="139">
        <f>SUM(D98:D104)</f>
        <v>0</v>
      </c>
      <c r="E105" s="116">
        <f t="shared" ref="E105:K105" si="8">SUM(E98:E104)</f>
        <v>0</v>
      </c>
      <c r="F105" s="180">
        <f t="shared" si="8"/>
        <v>0</v>
      </c>
      <c r="G105" s="181">
        <f t="shared" si="8"/>
        <v>0</v>
      </c>
      <c r="H105" s="181">
        <f t="shared" si="8"/>
        <v>0</v>
      </c>
      <c r="I105" s="181">
        <f>SUM(I98:I104)</f>
        <v>0</v>
      </c>
      <c r="J105" s="181">
        <f t="shared" si="8"/>
        <v>0</v>
      </c>
      <c r="K105" s="181">
        <f t="shared" si="8"/>
        <v>0</v>
      </c>
      <c r="L105" s="181">
        <f>SUM(L98:L104)</f>
        <v>0</v>
      </c>
      <c r="M105" s="182">
        <f>SUM(M98:M104)</f>
        <v>0</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2414"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704"/>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2414"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608"/>
      <c r="B120" s="2697"/>
      <c r="C120" s="106">
        <v>2014</v>
      </c>
      <c r="D120" s="31"/>
      <c r="E120" s="174"/>
      <c r="F120" s="175"/>
      <c r="G120" s="175"/>
      <c r="H120" s="175"/>
      <c r="I120" s="175"/>
      <c r="J120" s="175"/>
      <c r="K120" s="175"/>
      <c r="L120" s="176"/>
      <c r="M120" s="185"/>
      <c r="N120" s="185"/>
    </row>
    <row r="121" spans="1:14">
      <c r="A121" s="2593"/>
      <c r="B121" s="2697"/>
      <c r="C121" s="110">
        <v>2015</v>
      </c>
      <c r="D121" s="38"/>
      <c r="E121" s="177"/>
      <c r="F121" s="178"/>
      <c r="G121" s="178"/>
      <c r="H121" s="178"/>
      <c r="I121" s="178"/>
      <c r="J121" s="178"/>
      <c r="K121" s="178"/>
      <c r="L121" s="179"/>
      <c r="M121" s="185"/>
      <c r="N121" s="185"/>
    </row>
    <row r="122" spans="1:14">
      <c r="A122" s="2593"/>
      <c r="B122" s="2697"/>
      <c r="C122" s="110">
        <v>2016</v>
      </c>
      <c r="D122" s="38"/>
      <c r="E122" s="177"/>
      <c r="F122" s="178"/>
      <c r="G122" s="178"/>
      <c r="H122" s="178"/>
      <c r="I122" s="178"/>
      <c r="J122" s="178"/>
      <c r="K122" s="178"/>
      <c r="L122" s="179"/>
      <c r="M122" s="185"/>
      <c r="N122" s="185"/>
    </row>
    <row r="123" spans="1:14">
      <c r="A123" s="2593"/>
      <c r="B123" s="2697"/>
      <c r="C123" s="110">
        <v>2017</v>
      </c>
      <c r="D123" s="38"/>
      <c r="E123" s="177"/>
      <c r="F123" s="178"/>
      <c r="G123" s="178"/>
      <c r="H123" s="178"/>
      <c r="I123" s="178"/>
      <c r="J123" s="178"/>
      <c r="K123" s="178"/>
      <c r="L123" s="179"/>
      <c r="M123" s="185"/>
      <c r="N123" s="185"/>
    </row>
    <row r="124" spans="1:14">
      <c r="A124" s="2593"/>
      <c r="B124" s="2697"/>
      <c r="C124" s="110">
        <v>2018</v>
      </c>
      <c r="D124" s="38"/>
      <c r="E124" s="177"/>
      <c r="F124" s="178"/>
      <c r="G124" s="178"/>
      <c r="H124" s="178"/>
      <c r="I124" s="178"/>
      <c r="J124" s="178"/>
      <c r="K124" s="178"/>
      <c r="L124" s="179"/>
      <c r="M124" s="185"/>
      <c r="N124" s="185"/>
    </row>
    <row r="125" spans="1:14">
      <c r="A125" s="2593"/>
      <c r="B125" s="2697"/>
      <c r="C125" s="110">
        <v>2019</v>
      </c>
      <c r="D125" s="38"/>
      <c r="E125" s="177"/>
      <c r="F125" s="178"/>
      <c r="G125" s="178"/>
      <c r="H125" s="178"/>
      <c r="I125" s="178"/>
      <c r="J125" s="178"/>
      <c r="K125" s="178"/>
      <c r="L125" s="179"/>
      <c r="M125" s="185"/>
      <c r="N125" s="185"/>
    </row>
    <row r="126" spans="1:14">
      <c r="A126" s="2593"/>
      <c r="B126" s="2697"/>
      <c r="C126" s="110">
        <v>2020</v>
      </c>
      <c r="D126" s="38"/>
      <c r="E126" s="177"/>
      <c r="F126" s="178"/>
      <c r="G126" s="178"/>
      <c r="H126" s="178"/>
      <c r="I126" s="178"/>
      <c r="J126" s="178"/>
      <c r="K126" s="178"/>
      <c r="L126" s="179"/>
      <c r="M126" s="185"/>
      <c r="N126" s="185"/>
    </row>
    <row r="127" spans="1:14" ht="15.75" thickBot="1">
      <c r="A127" s="2595"/>
      <c r="B127" s="2698"/>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1534" t="s">
        <v>9</v>
      </c>
      <c r="D129" s="189" t="s">
        <v>85</v>
      </c>
      <c r="E129" s="553"/>
      <c r="F129" s="553"/>
      <c r="G129" s="191"/>
      <c r="H129" s="185"/>
      <c r="I129" s="185"/>
      <c r="J129" s="185"/>
      <c r="K129" s="185"/>
      <c r="L129" s="185"/>
      <c r="M129" s="185"/>
      <c r="N129" s="185"/>
    </row>
    <row r="130" spans="1:16" ht="77.25" customHeight="1">
      <c r="A130" s="1910"/>
      <c r="B130" s="1912"/>
      <c r="C130" s="1528"/>
      <c r="D130" s="166" t="s">
        <v>86</v>
      </c>
      <c r="E130" s="193" t="s">
        <v>87</v>
      </c>
      <c r="F130" s="167" t="s">
        <v>88</v>
      </c>
      <c r="G130" s="194" t="s">
        <v>13</v>
      </c>
      <c r="H130" s="185"/>
      <c r="I130" s="185"/>
      <c r="J130" s="185"/>
      <c r="K130" s="185"/>
      <c r="L130" s="185"/>
      <c r="M130" s="185"/>
      <c r="N130" s="185"/>
    </row>
    <row r="131" spans="1:16" ht="15" customHeight="1">
      <c r="A131" s="2588"/>
      <c r="B131" s="2032"/>
      <c r="C131" s="106">
        <v>2015</v>
      </c>
      <c r="D131" s="30"/>
      <c r="E131" s="31"/>
      <c r="F131" s="31"/>
      <c r="G131" s="195">
        <f t="shared" ref="G131:G136" si="11">SUM(D131:F131)</f>
        <v>0</v>
      </c>
      <c r="H131" s="185"/>
      <c r="I131" s="185"/>
      <c r="J131" s="185"/>
      <c r="K131" s="185"/>
      <c r="L131" s="185"/>
      <c r="M131" s="185"/>
      <c r="N131" s="185"/>
    </row>
    <row r="132" spans="1:16">
      <c r="A132" s="2610"/>
      <c r="B132" s="2032"/>
      <c r="C132" s="110">
        <v>2016</v>
      </c>
      <c r="D132" s="37"/>
      <c r="E132" s="38"/>
      <c r="F132" s="38"/>
      <c r="G132" s="195">
        <f t="shared" si="11"/>
        <v>0</v>
      </c>
      <c r="H132" s="185"/>
      <c r="I132" s="185"/>
      <c r="J132" s="185"/>
      <c r="K132" s="185"/>
      <c r="L132" s="185"/>
      <c r="M132" s="185"/>
      <c r="N132" s="185"/>
    </row>
    <row r="133" spans="1:16">
      <c r="A133" s="2610"/>
      <c r="B133" s="2032"/>
      <c r="C133" s="110">
        <v>2017</v>
      </c>
      <c r="D133" s="37"/>
      <c r="E133" s="38"/>
      <c r="F133" s="38"/>
      <c r="G133" s="195">
        <f t="shared" si="11"/>
        <v>0</v>
      </c>
      <c r="H133" s="185"/>
      <c r="I133" s="185"/>
      <c r="J133" s="185"/>
      <c r="K133" s="185"/>
      <c r="L133" s="185"/>
      <c r="M133" s="185"/>
      <c r="N133" s="185"/>
    </row>
    <row r="134" spans="1:16">
      <c r="A134" s="2610"/>
      <c r="B134" s="2032"/>
      <c r="C134" s="110">
        <v>2018</v>
      </c>
      <c r="D134" s="37"/>
      <c r="E134" s="38"/>
      <c r="F134" s="38"/>
      <c r="G134" s="195">
        <f t="shared" si="11"/>
        <v>0</v>
      </c>
      <c r="H134" s="185"/>
      <c r="I134" s="185"/>
      <c r="J134" s="185"/>
      <c r="K134" s="185"/>
      <c r="L134" s="185"/>
      <c r="M134" s="185"/>
      <c r="N134" s="185"/>
    </row>
    <row r="135" spans="1:16">
      <c r="A135" s="2610"/>
      <c r="B135" s="2032"/>
      <c r="C135" s="110">
        <v>2019</v>
      </c>
      <c r="D135" s="37"/>
      <c r="E135" s="38"/>
      <c r="F135" s="38"/>
      <c r="G135" s="195">
        <f t="shared" si="11"/>
        <v>0</v>
      </c>
      <c r="H135" s="185"/>
      <c r="I135" s="185"/>
      <c r="J135" s="185"/>
      <c r="K135" s="185"/>
      <c r="L135" s="185"/>
      <c r="M135" s="185"/>
      <c r="N135" s="185"/>
    </row>
    <row r="136" spans="1:16">
      <c r="A136" s="2610"/>
      <c r="B136" s="2032"/>
      <c r="C136" s="110">
        <v>2020</v>
      </c>
      <c r="D136" s="37"/>
      <c r="E136" s="38"/>
      <c r="F136" s="38"/>
      <c r="G136" s="195">
        <f t="shared" si="11"/>
        <v>0</v>
      </c>
      <c r="H136" s="185"/>
      <c r="I136" s="185"/>
      <c r="J136" s="185"/>
      <c r="K136" s="185"/>
      <c r="L136" s="185"/>
      <c r="M136" s="185"/>
      <c r="N136" s="185"/>
    </row>
    <row r="137" spans="1:16" ht="17.25" customHeight="1" thickBot="1">
      <c r="A137" s="2612"/>
      <c r="B137" s="2033"/>
      <c r="C137" s="113" t="s">
        <v>13</v>
      </c>
      <c r="D137" s="139">
        <f>SUM(D131:D136)</f>
        <v>0</v>
      </c>
      <c r="E137" s="139">
        <f t="shared" ref="E137:F137" si="12">SUM(E131:E136)</f>
        <v>0</v>
      </c>
      <c r="F137" s="139">
        <f t="shared" si="12"/>
        <v>0</v>
      </c>
      <c r="G137" s="196">
        <f>SUM(G131:G136)</f>
        <v>0</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t="s">
        <v>560</v>
      </c>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1.75"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1567" t="s">
        <v>9</v>
      </c>
      <c r="D164" s="246" t="s">
        <v>117</v>
      </c>
      <c r="E164" s="246" t="s">
        <v>118</v>
      </c>
      <c r="F164" s="561" t="s">
        <v>119</v>
      </c>
      <c r="G164" s="246" t="s">
        <v>120</v>
      </c>
      <c r="H164" s="246" t="s">
        <v>121</v>
      </c>
      <c r="I164" s="248" t="s">
        <v>122</v>
      </c>
      <c r="J164" s="249" t="s">
        <v>123</v>
      </c>
      <c r="K164" s="249" t="s">
        <v>124</v>
      </c>
      <c r="L164" s="1531"/>
    </row>
    <row r="165" spans="1:18" ht="15.75" customHeight="1">
      <c r="A165" s="2510" t="s">
        <v>561</v>
      </c>
      <c r="B165" s="2636"/>
      <c r="C165" s="251">
        <v>2014</v>
      </c>
      <c r="D165" s="175"/>
      <c r="E165" s="175"/>
      <c r="F165" s="175"/>
      <c r="G165" s="175"/>
      <c r="H165" s="175"/>
      <c r="I165" s="176"/>
      <c r="J165" s="252">
        <f>SUM(D165,F165,H165)</f>
        <v>0</v>
      </c>
      <c r="K165" s="253">
        <f>SUM(E165,G165,I165)</f>
        <v>0</v>
      </c>
      <c r="L165" s="1531"/>
    </row>
    <row r="166" spans="1:18">
      <c r="A166" s="2512"/>
      <c r="B166" s="2032"/>
      <c r="C166" s="254">
        <v>2015</v>
      </c>
      <c r="D166" s="255"/>
      <c r="E166" s="255"/>
      <c r="F166" s="255"/>
      <c r="G166" s="255"/>
      <c r="H166" s="255"/>
      <c r="I166" s="256"/>
      <c r="J166" s="407">
        <f t="shared" ref="J166:K171" si="17">SUM(D166,F166,H166)</f>
        <v>0</v>
      </c>
      <c r="K166" s="408">
        <f t="shared" si="17"/>
        <v>0</v>
      </c>
      <c r="L166" s="1531"/>
    </row>
    <row r="167" spans="1:18">
      <c r="A167" s="2512"/>
      <c r="B167" s="2032"/>
      <c r="C167" s="254">
        <v>2016</v>
      </c>
      <c r="D167" s="255"/>
      <c r="E167" s="255"/>
      <c r="F167" s="255"/>
      <c r="G167" s="255"/>
      <c r="H167" s="255"/>
      <c r="I167" s="256"/>
      <c r="J167" s="407">
        <f t="shared" si="17"/>
        <v>0</v>
      </c>
      <c r="K167" s="408">
        <f t="shared" si="17"/>
        <v>0</v>
      </c>
    </row>
    <row r="168" spans="1:18">
      <c r="A168" s="2512"/>
      <c r="B168" s="2032"/>
      <c r="C168" s="254">
        <v>2017</v>
      </c>
      <c r="D168" s="255"/>
      <c r="E168" s="165">
        <v>2</v>
      </c>
      <c r="F168" s="255"/>
      <c r="G168" s="255"/>
      <c r="H168" s="255"/>
      <c r="I168" s="256"/>
      <c r="J168" s="407">
        <f t="shared" si="17"/>
        <v>0</v>
      </c>
      <c r="K168" s="408">
        <f t="shared" si="17"/>
        <v>2</v>
      </c>
    </row>
    <row r="169" spans="1:18">
      <c r="A169" s="2512"/>
      <c r="B169" s="2032"/>
      <c r="C169" s="262">
        <v>2018</v>
      </c>
      <c r="D169" s="255"/>
      <c r="E169" s="255"/>
      <c r="F169" s="255"/>
      <c r="G169" s="263"/>
      <c r="H169" s="255"/>
      <c r="I169" s="256"/>
      <c r="J169" s="407">
        <f t="shared" si="17"/>
        <v>0</v>
      </c>
      <c r="K169" s="408">
        <f t="shared" si="17"/>
        <v>0</v>
      </c>
      <c r="L169" s="1531"/>
    </row>
    <row r="170" spans="1:18">
      <c r="A170" s="2512"/>
      <c r="B170" s="2032"/>
      <c r="C170" s="254">
        <v>2019</v>
      </c>
      <c r="D170" s="165"/>
      <c r="E170" s="255"/>
      <c r="F170" s="255"/>
      <c r="G170" s="255"/>
      <c r="H170" s="263"/>
      <c r="I170" s="256"/>
      <c r="J170" s="407">
        <f t="shared" si="17"/>
        <v>0</v>
      </c>
      <c r="K170" s="408">
        <f t="shared" si="17"/>
        <v>0</v>
      </c>
      <c r="L170" s="1531"/>
    </row>
    <row r="171" spans="1:18">
      <c r="A171" s="2512"/>
      <c r="B171" s="2032"/>
      <c r="C171" s="262">
        <v>2020</v>
      </c>
      <c r="D171" s="255"/>
      <c r="E171" s="255"/>
      <c r="F171" s="255"/>
      <c r="G171" s="255"/>
      <c r="H171" s="255"/>
      <c r="I171" s="256"/>
      <c r="J171" s="407">
        <f t="shared" si="17"/>
        <v>0</v>
      </c>
      <c r="K171" s="408">
        <f t="shared" si="17"/>
        <v>0</v>
      </c>
      <c r="L171" s="1531"/>
    </row>
    <row r="172" spans="1:18" ht="41.25" customHeight="1" thickBot="1">
      <c r="A172" s="2514"/>
      <c r="B172" s="2033"/>
      <c r="C172" s="265" t="s">
        <v>13</v>
      </c>
      <c r="D172" s="181">
        <f>SUM(D165:D171)</f>
        <v>0</v>
      </c>
      <c r="E172" s="181">
        <f t="shared" ref="E172:K172" si="18">SUM(E165:E171)</f>
        <v>2</v>
      </c>
      <c r="F172" s="181">
        <f t="shared" si="18"/>
        <v>0</v>
      </c>
      <c r="G172" s="181">
        <f t="shared" si="18"/>
        <v>0</v>
      </c>
      <c r="H172" s="181">
        <f t="shared" si="18"/>
        <v>0</v>
      </c>
      <c r="I172" s="409">
        <f t="shared" si="18"/>
        <v>0</v>
      </c>
      <c r="J172" s="410">
        <f t="shared" si="18"/>
        <v>0</v>
      </c>
      <c r="K172" s="221">
        <f t="shared" si="18"/>
        <v>2</v>
      </c>
      <c r="L172" s="1531"/>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696" t="s">
        <v>562</v>
      </c>
      <c r="B178" s="2697"/>
      <c r="C178" s="106">
        <v>2014</v>
      </c>
      <c r="D178" s="30"/>
      <c r="E178" s="31"/>
      <c r="F178" s="31"/>
      <c r="G178" s="284">
        <f>SUM(D178:F178)</f>
        <v>0</v>
      </c>
      <c r="H178" s="155"/>
      <c r="I178" s="155"/>
      <c r="J178" s="31"/>
      <c r="K178" s="31"/>
      <c r="L178" s="31"/>
      <c r="M178" s="31"/>
      <c r="N178" s="31"/>
      <c r="O178" s="34"/>
    </row>
    <row r="179" spans="1:15">
      <c r="A179" s="2593"/>
      <c r="B179" s="2697"/>
      <c r="C179" s="110">
        <v>2015</v>
      </c>
      <c r="D179" s="37"/>
      <c r="E179" s="38"/>
      <c r="F179" s="38"/>
      <c r="G179" s="284">
        <f t="shared" ref="G179:G184" si="19">SUM(D179:F179)</f>
        <v>0</v>
      </c>
      <c r="H179" s="411"/>
      <c r="I179" s="112"/>
      <c r="J179" s="38"/>
      <c r="K179" s="38"/>
      <c r="L179" s="38"/>
      <c r="M179" s="38"/>
      <c r="N179" s="38"/>
      <c r="O179" s="88"/>
    </row>
    <row r="180" spans="1:15">
      <c r="A180" s="2593"/>
      <c r="B180" s="2697"/>
      <c r="C180" s="110">
        <v>2016</v>
      </c>
      <c r="D180" s="37">
        <v>1</v>
      </c>
      <c r="E180" s="38">
        <v>2</v>
      </c>
      <c r="F180" s="38"/>
      <c r="G180" s="284">
        <f t="shared" si="19"/>
        <v>3</v>
      </c>
      <c r="H180" s="411">
        <v>6</v>
      </c>
      <c r="I180" s="112">
        <v>1</v>
      </c>
      <c r="J180" s="38">
        <v>1</v>
      </c>
      <c r="K180" s="38">
        <v>1</v>
      </c>
      <c r="L180" s="38"/>
      <c r="M180" s="38"/>
      <c r="N180" s="38"/>
      <c r="O180" s="88"/>
    </row>
    <row r="181" spans="1:15">
      <c r="A181" s="2593"/>
      <c r="B181" s="2697"/>
      <c r="C181" s="110">
        <v>2017</v>
      </c>
      <c r="D181" s="37">
        <v>2</v>
      </c>
      <c r="E181" s="38">
        <v>5</v>
      </c>
      <c r="F181" s="38">
        <v>1</v>
      </c>
      <c r="G181" s="284">
        <f t="shared" si="19"/>
        <v>8</v>
      </c>
      <c r="H181" s="411">
        <v>18</v>
      </c>
      <c r="I181" s="112">
        <v>8</v>
      </c>
      <c r="J181" s="38"/>
      <c r="K181" s="38"/>
      <c r="L181" s="38"/>
      <c r="M181" s="38"/>
      <c r="N181" s="38"/>
      <c r="O181" s="88"/>
    </row>
    <row r="182" spans="1:15">
      <c r="A182" s="2593"/>
      <c r="B182" s="2697"/>
      <c r="C182" s="110">
        <v>2018</v>
      </c>
      <c r="D182" s="37"/>
      <c r="E182" s="38"/>
      <c r="F182" s="38"/>
      <c r="G182" s="284">
        <f t="shared" si="19"/>
        <v>0</v>
      </c>
      <c r="H182" s="411"/>
      <c r="I182" s="112"/>
      <c r="J182" s="38"/>
      <c r="K182" s="38"/>
      <c r="L182" s="38"/>
      <c r="M182" s="38"/>
      <c r="N182" s="38"/>
      <c r="O182" s="88"/>
    </row>
    <row r="183" spans="1:15">
      <c r="A183" s="2593"/>
      <c r="B183" s="2697"/>
      <c r="C183" s="110">
        <v>2019</v>
      </c>
      <c r="D183" s="37"/>
      <c r="E183" s="38"/>
      <c r="F183" s="38"/>
      <c r="G183" s="284">
        <f t="shared" si="19"/>
        <v>0</v>
      </c>
      <c r="H183" s="411"/>
      <c r="I183" s="112"/>
      <c r="J183" s="38"/>
      <c r="K183" s="38"/>
      <c r="L183" s="38"/>
      <c r="M183" s="38"/>
      <c r="N183" s="38"/>
      <c r="O183" s="88"/>
    </row>
    <row r="184" spans="1:15">
      <c r="A184" s="2593"/>
      <c r="B184" s="2697"/>
      <c r="C184" s="110">
        <v>2020</v>
      </c>
      <c r="D184" s="37"/>
      <c r="E184" s="38"/>
      <c r="F184" s="38"/>
      <c r="G184" s="284">
        <f t="shared" si="19"/>
        <v>0</v>
      </c>
      <c r="H184" s="411"/>
      <c r="I184" s="112"/>
      <c r="J184" s="38"/>
      <c r="K184" s="38"/>
      <c r="L184" s="38"/>
      <c r="M184" s="38"/>
      <c r="N184" s="38"/>
      <c r="O184" s="88"/>
    </row>
    <row r="185" spans="1:15" ht="409.5" customHeight="1" thickBot="1">
      <c r="A185" s="2595"/>
      <c r="B185" s="2698"/>
      <c r="C185" s="113" t="s">
        <v>13</v>
      </c>
      <c r="D185" s="139">
        <v>1</v>
      </c>
      <c r="E185" s="116">
        <v>2</v>
      </c>
      <c r="F185" s="116">
        <f>SUM(F178:F184)</f>
        <v>1</v>
      </c>
      <c r="G185" s="220">
        <f t="shared" ref="G185:O185" si="20">SUM(G178:G184)</f>
        <v>11</v>
      </c>
      <c r="H185" s="285"/>
      <c r="I185" s="115">
        <v>1</v>
      </c>
      <c r="J185" s="116">
        <v>1</v>
      </c>
      <c r="K185" s="116">
        <v>1</v>
      </c>
      <c r="L185" s="116">
        <f t="shared" si="20"/>
        <v>0</v>
      </c>
      <c r="M185" s="116">
        <f t="shared" si="20"/>
        <v>0</v>
      </c>
      <c r="N185" s="116">
        <f t="shared" si="20"/>
        <v>0</v>
      </c>
      <c r="O185" s="117">
        <f t="shared" si="20"/>
        <v>0</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693"/>
      <c r="B189" s="2636"/>
      <c r="C189" s="290">
        <v>2014</v>
      </c>
      <c r="D189" s="133"/>
      <c r="E189" s="109"/>
      <c r="F189" s="109"/>
      <c r="G189" s="291">
        <f>SUM(D189:F189)</f>
        <v>0</v>
      </c>
      <c r="H189" s="108"/>
      <c r="I189" s="109"/>
      <c r="J189" s="109"/>
      <c r="K189" s="109"/>
      <c r="L189" s="134"/>
    </row>
    <row r="190" spans="1:15">
      <c r="A190" s="2694"/>
      <c r="B190" s="2032"/>
      <c r="C190" s="73">
        <v>2015</v>
      </c>
      <c r="D190" s="37"/>
      <c r="E190" s="38"/>
      <c r="F190" s="38"/>
      <c r="G190" s="291">
        <f t="shared" ref="G190:G195" si="21">SUM(D190:F190)</f>
        <v>0</v>
      </c>
      <c r="H190" s="112"/>
      <c r="I190" s="38"/>
      <c r="J190" s="38"/>
      <c r="K190" s="38"/>
      <c r="L190" s="88"/>
    </row>
    <row r="191" spans="1:15">
      <c r="A191" s="2694"/>
      <c r="B191" s="2032"/>
      <c r="C191" s="73">
        <v>2016</v>
      </c>
      <c r="D191" s="37">
        <v>45</v>
      </c>
      <c r="E191" s="38">
        <v>80</v>
      </c>
      <c r="F191" s="38"/>
      <c r="G191" s="291">
        <f>D191+E191</f>
        <v>125</v>
      </c>
      <c r="H191" s="112"/>
      <c r="I191" s="38">
        <v>2</v>
      </c>
      <c r="J191" s="38">
        <v>33</v>
      </c>
      <c r="K191" s="38">
        <v>8</v>
      </c>
      <c r="L191" s="88">
        <v>82</v>
      </c>
    </row>
    <row r="192" spans="1:15">
      <c r="A192" s="2694"/>
      <c r="B192" s="2032"/>
      <c r="C192" s="73">
        <v>2017</v>
      </c>
      <c r="D192" s="37">
        <v>240</v>
      </c>
      <c r="E192" s="38"/>
      <c r="F192" s="38">
        <v>325</v>
      </c>
      <c r="G192" s="291">
        <f t="shared" si="21"/>
        <v>565</v>
      </c>
      <c r="H192" s="112"/>
      <c r="I192" s="38">
        <v>10</v>
      </c>
      <c r="J192" s="38">
        <v>30</v>
      </c>
      <c r="K192" s="38"/>
      <c r="L192" s="88">
        <v>525</v>
      </c>
    </row>
    <row r="193" spans="1:14">
      <c r="A193" s="2694"/>
      <c r="B193" s="2032"/>
      <c r="C193" s="73">
        <v>2018</v>
      </c>
      <c r="D193" s="37"/>
      <c r="E193" s="38"/>
      <c r="F193" s="38"/>
      <c r="G193" s="291">
        <f t="shared" si="21"/>
        <v>0</v>
      </c>
      <c r="H193" s="112"/>
      <c r="I193" s="38"/>
      <c r="J193" s="38"/>
      <c r="K193" s="38"/>
      <c r="L193" s="88"/>
    </row>
    <row r="194" spans="1:14">
      <c r="A194" s="2694"/>
      <c r="B194" s="2032"/>
      <c r="C194" s="73">
        <v>2019</v>
      </c>
      <c r="D194" s="37"/>
      <c r="E194" s="38"/>
      <c r="F194" s="38"/>
      <c r="G194" s="291">
        <f t="shared" si="21"/>
        <v>0</v>
      </c>
      <c r="H194" s="112"/>
      <c r="I194" s="38"/>
      <c r="J194" s="38"/>
      <c r="K194" s="38"/>
      <c r="L194" s="88"/>
    </row>
    <row r="195" spans="1:14">
      <c r="A195" s="2694"/>
      <c r="B195" s="2032"/>
      <c r="C195" s="73">
        <v>2020</v>
      </c>
      <c r="D195" s="37"/>
      <c r="E195" s="38"/>
      <c r="F195" s="38"/>
      <c r="G195" s="291">
        <f t="shared" si="21"/>
        <v>0</v>
      </c>
      <c r="H195" s="112"/>
      <c r="I195" s="38"/>
      <c r="J195" s="38"/>
      <c r="K195" s="38"/>
      <c r="L195" s="88"/>
    </row>
    <row r="196" spans="1:14" ht="15.75" thickBot="1">
      <c r="A196" s="2695"/>
      <c r="B196" s="2033"/>
      <c r="C196" s="136" t="s">
        <v>13</v>
      </c>
      <c r="D196" s="139">
        <v>45</v>
      </c>
      <c r="E196" s="116">
        <f t="shared" ref="E196:L196" si="22">SUM(E189:E195)</f>
        <v>80</v>
      </c>
      <c r="F196" s="116">
        <f t="shared" si="22"/>
        <v>325</v>
      </c>
      <c r="G196" s="292">
        <f t="shared" si="22"/>
        <v>690</v>
      </c>
      <c r="H196" s="115">
        <f t="shared" si="22"/>
        <v>0</v>
      </c>
      <c r="I196" s="116">
        <f t="shared" si="22"/>
        <v>12</v>
      </c>
      <c r="J196" s="116">
        <f t="shared" si="22"/>
        <v>63</v>
      </c>
      <c r="K196" s="116">
        <f t="shared" si="22"/>
        <v>8</v>
      </c>
      <c r="L196" s="117">
        <f t="shared" si="22"/>
        <v>607</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2610"/>
      <c r="B202" s="2032"/>
      <c r="C202" s="72">
        <v>2014</v>
      </c>
      <c r="D202" s="30"/>
      <c r="E202" s="31"/>
      <c r="F202" s="31"/>
      <c r="G202" s="29"/>
      <c r="H202" s="305"/>
      <c r="I202" s="306"/>
      <c r="J202" s="307"/>
      <c r="K202" s="31"/>
      <c r="L202" s="34"/>
    </row>
    <row r="203" spans="1:14">
      <c r="A203" s="2610"/>
      <c r="B203" s="2032"/>
      <c r="C203" s="73">
        <v>2015</v>
      </c>
      <c r="D203" s="37"/>
      <c r="E203" s="38"/>
      <c r="F203" s="38"/>
      <c r="G203" s="36"/>
      <c r="H203" s="308"/>
      <c r="I203" s="309"/>
      <c r="J203" s="310"/>
      <c r="K203" s="38"/>
      <c r="L203" s="88"/>
    </row>
    <row r="204" spans="1:14">
      <c r="A204" s="2610"/>
      <c r="B204" s="2032"/>
      <c r="C204" s="73">
        <v>2016</v>
      </c>
      <c r="D204" s="37"/>
      <c r="E204" s="38"/>
      <c r="F204" s="38"/>
      <c r="G204" s="36"/>
      <c r="H204" s="308"/>
      <c r="I204" s="309"/>
      <c r="J204" s="310"/>
      <c r="K204" s="38"/>
      <c r="L204" s="88"/>
    </row>
    <row r="205" spans="1:14">
      <c r="A205" s="2610"/>
      <c r="B205" s="2032"/>
      <c r="C205" s="73">
        <v>2017</v>
      </c>
      <c r="D205" s="37"/>
      <c r="E205" s="38"/>
      <c r="F205" s="38"/>
      <c r="G205" s="36"/>
      <c r="H205" s="308"/>
      <c r="I205" s="309"/>
      <c r="J205" s="310"/>
      <c r="K205" s="38"/>
      <c r="L205" s="88"/>
    </row>
    <row r="206" spans="1:14">
      <c r="A206" s="2610"/>
      <c r="B206" s="2032"/>
      <c r="C206" s="73">
        <v>2018</v>
      </c>
      <c r="D206" s="37"/>
      <c r="E206" s="38"/>
      <c r="F206" s="38"/>
      <c r="G206" s="36"/>
      <c r="H206" s="308"/>
      <c r="I206" s="309"/>
      <c r="J206" s="310"/>
      <c r="K206" s="38"/>
      <c r="L206" s="88"/>
    </row>
    <row r="207" spans="1:14">
      <c r="A207" s="2610"/>
      <c r="B207" s="2032"/>
      <c r="C207" s="73">
        <v>2019</v>
      </c>
      <c r="D207" s="37"/>
      <c r="E207" s="38"/>
      <c r="F207" s="38"/>
      <c r="G207" s="36"/>
      <c r="H207" s="308"/>
      <c r="I207" s="309"/>
      <c r="J207" s="310"/>
      <c r="K207" s="38"/>
      <c r="L207" s="88"/>
    </row>
    <row r="208" spans="1:14">
      <c r="A208" s="2610"/>
      <c r="B208" s="2032"/>
      <c r="C208" s="73">
        <v>2020</v>
      </c>
      <c r="D208" s="1533"/>
      <c r="E208" s="312"/>
      <c r="F208" s="312"/>
      <c r="G208" s="313"/>
      <c r="H208" s="314"/>
      <c r="I208" s="315"/>
      <c r="J208" s="316"/>
      <c r="K208" s="312"/>
      <c r="L208" s="317"/>
    </row>
    <row r="209" spans="1:12" ht="20.25" customHeight="1" thickBot="1">
      <c r="A209" s="2612"/>
      <c r="B209" s="2033"/>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2692" t="s">
        <v>563</v>
      </c>
      <c r="C213" s="72"/>
      <c r="D213" s="1712">
        <f>SUM(D214)</f>
        <v>9275.5499999999993</v>
      </c>
      <c r="E213" s="328">
        <f>SUM(E214:E217)</f>
        <v>60950.69</v>
      </c>
      <c r="F213" s="328">
        <v>124658.33</v>
      </c>
      <c r="G213" s="1734"/>
      <c r="H213" s="135"/>
      <c r="I213" s="326"/>
      <c r="J213" s="327">
        <f>SUM(D213:I213)</f>
        <v>194884.57</v>
      </c>
    </row>
    <row r="214" spans="1:12">
      <c r="A214" t="s">
        <v>164</v>
      </c>
      <c r="B214" s="2555"/>
      <c r="C214" s="72"/>
      <c r="D214" s="1712">
        <v>9275.5499999999993</v>
      </c>
      <c r="E214" s="447">
        <v>22479.27</v>
      </c>
      <c r="F214" s="328">
        <v>124658.33</v>
      </c>
      <c r="G214" s="135"/>
      <c r="H214" s="135"/>
      <c r="I214" s="326"/>
    </row>
    <row r="215" spans="1:12">
      <c r="A215" t="s">
        <v>165</v>
      </c>
      <c r="B215" s="2555"/>
      <c r="C215" s="72"/>
      <c r="D215" s="135"/>
      <c r="E215" s="1505"/>
      <c r="F215" s="135"/>
      <c r="G215" s="135"/>
      <c r="H215" s="135"/>
      <c r="I215" s="326"/>
    </row>
    <row r="216" spans="1:12">
      <c r="A216" t="s">
        <v>166</v>
      </c>
      <c r="B216" s="2555"/>
      <c r="C216" s="72"/>
      <c r="D216" s="135"/>
      <c r="E216" s="1505"/>
      <c r="F216" s="135"/>
      <c r="G216" s="135"/>
      <c r="H216" s="135"/>
      <c r="I216" s="326"/>
    </row>
    <row r="217" spans="1:12">
      <c r="A217" t="s">
        <v>167</v>
      </c>
      <c r="B217" s="2555"/>
      <c r="C217" s="72"/>
      <c r="D217" s="135"/>
      <c r="E217" s="439">
        <v>38471.42</v>
      </c>
      <c r="F217" s="1734"/>
      <c r="G217" s="135"/>
      <c r="H217" s="135"/>
      <c r="I217" s="326"/>
    </row>
    <row r="218" spans="1:12" ht="30">
      <c r="A218" s="56" t="s">
        <v>168</v>
      </c>
      <c r="B218" s="2555"/>
      <c r="C218" s="72"/>
      <c r="D218" s="1712">
        <v>100000</v>
      </c>
      <c r="E218" s="447">
        <v>94378.25</v>
      </c>
      <c r="F218" s="1734">
        <v>67000</v>
      </c>
      <c r="G218" s="1734"/>
      <c r="H218" s="135"/>
      <c r="I218" s="326"/>
    </row>
    <row r="219" spans="1:12" ht="15.75" thickBot="1">
      <c r="A219" s="1532"/>
      <c r="B219" s="2556"/>
      <c r="C219" s="42" t="s">
        <v>13</v>
      </c>
      <c r="D219" s="1617">
        <f>SUM(D214:D218)</f>
        <v>109275.55</v>
      </c>
      <c r="E219" s="333">
        <f t="shared" ref="E219:I219" si="24">SUM(E214:E218)</f>
        <v>155328.94</v>
      </c>
      <c r="F219" s="332">
        <f>SUM(F214:F218)</f>
        <v>191658.33000000002</v>
      </c>
      <c r="G219" s="333">
        <f t="shared" si="24"/>
        <v>0</v>
      </c>
      <c r="H219" s="333">
        <f t="shared" si="24"/>
        <v>0</v>
      </c>
      <c r="I219" s="333">
        <f t="shared" si="24"/>
        <v>0</v>
      </c>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hyperlinks>
    <hyperlink ref="A40" display="brak statystyki wejść na stronę internetową - brak zliczania wejść ze względów technicznych (www.zodr.pl)"/>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205" workbookViewId="0">
      <selection activeCell="E223" sqref="E2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597</v>
      </c>
      <c r="C1" s="1944"/>
      <c r="D1" s="1944"/>
      <c r="E1" s="1944"/>
      <c r="F1" s="1944"/>
    </row>
    <row r="2" spans="1:25" s="1" customFormat="1" ht="20.100000000000001" customHeight="1" thickBot="1">
      <c r="B2" s="1733"/>
    </row>
    <row r="3" spans="1:25" s="4" customFormat="1" ht="20.100000000000001" customHeight="1">
      <c r="A3" s="1837" t="s">
        <v>2</v>
      </c>
      <c r="B3" s="1838"/>
      <c r="C3" s="1838"/>
      <c r="D3" s="1838"/>
      <c r="E3" s="1838"/>
      <c r="F3" s="2492"/>
      <c r="G3" s="2492"/>
      <c r="H3" s="2492"/>
      <c r="I3" s="2492"/>
      <c r="J3" s="2492"/>
      <c r="K3" s="2492"/>
      <c r="L3" s="2492"/>
      <c r="M3" s="2492"/>
      <c r="N3" s="2492"/>
      <c r="O3" s="2493"/>
    </row>
    <row r="4" spans="1:25" s="4" customFormat="1" ht="20.100000000000001" customHeight="1">
      <c r="A4" s="2716" t="s">
        <v>170</v>
      </c>
      <c r="B4" s="1948"/>
      <c r="C4" s="1948"/>
      <c r="D4" s="1948"/>
      <c r="E4" s="1948"/>
      <c r="F4" s="1948"/>
      <c r="G4" s="1948"/>
      <c r="H4" s="1948"/>
      <c r="I4" s="1948"/>
      <c r="J4" s="1948"/>
      <c r="K4" s="1948"/>
      <c r="L4" s="1948"/>
      <c r="M4" s="1948"/>
      <c r="N4" s="1948"/>
      <c r="O4" s="1949"/>
    </row>
    <row r="5" spans="1:25" s="4" customFormat="1" ht="20.100000000000001" customHeight="1">
      <c r="A5" s="2716"/>
      <c r="B5" s="1948"/>
      <c r="C5" s="1948"/>
      <c r="D5" s="1948"/>
      <c r="E5" s="1948"/>
      <c r="F5" s="1948"/>
      <c r="G5" s="1948"/>
      <c r="H5" s="1948"/>
      <c r="I5" s="1948"/>
      <c r="J5" s="1948"/>
      <c r="K5" s="1948"/>
      <c r="L5" s="1948"/>
      <c r="M5" s="1948"/>
      <c r="N5" s="1948"/>
      <c r="O5" s="1949"/>
    </row>
    <row r="6" spans="1:25" s="4" customFormat="1" ht="20.100000000000001" customHeight="1">
      <c r="A6" s="2716"/>
      <c r="B6" s="1948"/>
      <c r="C6" s="1948"/>
      <c r="D6" s="1948"/>
      <c r="E6" s="1948"/>
      <c r="F6" s="1948"/>
      <c r="G6" s="1948"/>
      <c r="H6" s="1948"/>
      <c r="I6" s="1948"/>
      <c r="J6" s="1948"/>
      <c r="K6" s="1948"/>
      <c r="L6" s="1948"/>
      <c r="M6" s="1948"/>
      <c r="N6" s="1948"/>
      <c r="O6" s="1949"/>
    </row>
    <row r="7" spans="1:25" s="4" customFormat="1" ht="20.100000000000001" customHeight="1">
      <c r="A7" s="2716"/>
      <c r="B7" s="1948"/>
      <c r="C7" s="1948"/>
      <c r="D7" s="1948"/>
      <c r="E7" s="1948"/>
      <c r="F7" s="1948"/>
      <c r="G7" s="1948"/>
      <c r="H7" s="1948"/>
      <c r="I7" s="1948"/>
      <c r="J7" s="1948"/>
      <c r="K7" s="1948"/>
      <c r="L7" s="1948"/>
      <c r="M7" s="1948"/>
      <c r="N7" s="1948"/>
      <c r="O7" s="1949"/>
    </row>
    <row r="8" spans="1:25" s="4" customFormat="1" ht="20.100000000000001" customHeight="1">
      <c r="A8" s="2716"/>
      <c r="B8" s="1948"/>
      <c r="C8" s="1948"/>
      <c r="D8" s="1948"/>
      <c r="E8" s="1948"/>
      <c r="F8" s="1948"/>
      <c r="G8" s="1948"/>
      <c r="H8" s="1948"/>
      <c r="I8" s="1948"/>
      <c r="J8" s="1948"/>
      <c r="K8" s="1948"/>
      <c r="L8" s="1948"/>
      <c r="M8" s="1948"/>
      <c r="N8" s="1948"/>
      <c r="O8" s="1949"/>
    </row>
    <row r="9" spans="1:25" s="4" customFormat="1" ht="20.100000000000001" customHeight="1">
      <c r="A9" s="2716"/>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1839"/>
      <c r="B15" s="1814"/>
      <c r="C15" s="10"/>
      <c r="D15" s="2421" t="s">
        <v>5</v>
      </c>
      <c r="E15" s="2489"/>
      <c r="F15" s="2489"/>
      <c r="G15" s="2489"/>
      <c r="H15" s="1746"/>
      <c r="I15" s="12" t="s">
        <v>6</v>
      </c>
      <c r="J15" s="13"/>
      <c r="K15" s="13"/>
      <c r="L15" s="13"/>
      <c r="M15" s="13"/>
      <c r="N15" s="13"/>
      <c r="O15" s="14"/>
      <c r="P15" s="15"/>
      <c r="Q15" s="16"/>
      <c r="R15" s="17"/>
      <c r="S15" s="17"/>
      <c r="T15" s="17"/>
      <c r="U15" s="17"/>
      <c r="V15" s="17"/>
      <c r="W15" s="15"/>
      <c r="X15" s="15"/>
      <c r="Y15" s="16"/>
    </row>
    <row r="16" spans="1:25" s="56" customFormat="1" ht="129" customHeight="1">
      <c r="A16" s="1844"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717"/>
      <c r="B17" s="2032"/>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2718"/>
      <c r="B18" s="2032"/>
      <c r="C18" s="36">
        <v>2015</v>
      </c>
      <c r="D18" s="37">
        <f>SUM('dolnośląskie:ODR woj. zachodniopomorskie'!D18)</f>
        <v>356</v>
      </c>
      <c r="E18" s="37">
        <f>SUM('dolnośląskie:ODR woj. zachodniopomorskie'!E18)</f>
        <v>75</v>
      </c>
      <c r="F18" s="37">
        <f>SUM('dolnośląskie:ODR woj. zachodniopomorskie'!F18)</f>
        <v>12</v>
      </c>
      <c r="G18" s="58">
        <f>SUM(D18:F18)</f>
        <v>443</v>
      </c>
      <c r="H18" s="37">
        <f>SUM('dolnośląskie:ODR woj. zachodniopomorskie'!H18)</f>
        <v>67</v>
      </c>
      <c r="I18" s="37">
        <f>SUM('dolnośląskie:ODR woj. zachodniopomorskie'!I18)</f>
        <v>31</v>
      </c>
      <c r="J18" s="37">
        <f>SUM('dolnośląskie:ODR woj. zachodniopomorskie'!J18)</f>
        <v>4</v>
      </c>
      <c r="K18" s="37">
        <f>SUM('dolnośląskie:ODR woj. zachodniopomorskie'!K18)</f>
        <v>78</v>
      </c>
      <c r="L18" s="37">
        <f>SUM('dolnośląskie:ODR woj. zachodniopomorskie'!L18)</f>
        <v>25</v>
      </c>
      <c r="M18" s="37">
        <f>SUM('dolnośląskie:ODR woj. zachodniopomorskie'!M18)</f>
        <v>5</v>
      </c>
      <c r="N18" s="37">
        <f>SUM('dolnośląskie:ODR woj. zachodniopomorskie'!N18)</f>
        <v>3</v>
      </c>
      <c r="O18" s="40">
        <f>SUM('dolnośląskie:ODR woj. zachodniopomorskie'!O18)</f>
        <v>230</v>
      </c>
      <c r="P18" s="35"/>
      <c r="Q18" s="35"/>
      <c r="R18" s="35"/>
      <c r="S18" s="35"/>
      <c r="T18" s="35"/>
      <c r="U18" s="35"/>
      <c r="V18" s="35"/>
      <c r="W18" s="35"/>
      <c r="X18" s="35"/>
      <c r="Y18" s="35"/>
    </row>
    <row r="19" spans="1:25">
      <c r="A19" s="2718"/>
      <c r="B19" s="2032"/>
      <c r="C19" s="36">
        <v>2016</v>
      </c>
      <c r="D19" s="37">
        <f>SUM('dolnośląskie:ODR woj. zachodniopomorskie'!D19)</f>
        <v>1497</v>
      </c>
      <c r="E19" s="37">
        <f>SUM('dolnośląskie:ODR woj. zachodniopomorskie'!E19)-14</f>
        <v>78</v>
      </c>
      <c r="F19" s="37">
        <f>SUM('dolnośląskie:ODR woj. zachodniopomorskie'!F19)-13</f>
        <v>37</v>
      </c>
      <c r="G19" s="58">
        <f t="shared" si="0"/>
        <v>1612</v>
      </c>
      <c r="H19" s="37">
        <f>SUM('dolnośląskie:ODR woj. zachodniopomorskie'!H19)</f>
        <v>279</v>
      </c>
      <c r="I19" s="37">
        <f>SUM('dolnośląskie:ODR woj. zachodniopomorskie'!I19)</f>
        <v>194</v>
      </c>
      <c r="J19" s="37">
        <f>SUM('dolnośląskie:ODR woj. zachodniopomorskie'!J19)</f>
        <v>21</v>
      </c>
      <c r="K19" s="37">
        <f>SUM('dolnośląskie:ODR woj. zachodniopomorskie'!K19)</f>
        <v>235</v>
      </c>
      <c r="L19" s="37">
        <f>SUM('dolnośląskie:ODR woj. zachodniopomorskie'!L19)</f>
        <v>36</v>
      </c>
      <c r="M19" s="37">
        <f>SUM('dolnośląskie:ODR woj. zachodniopomorskie'!M19)</f>
        <v>13</v>
      </c>
      <c r="N19" s="37">
        <f>SUM('dolnośląskie:ODR woj. zachodniopomorskie'!N19)</f>
        <v>1</v>
      </c>
      <c r="O19" s="40">
        <f>SUM('dolnośląskie:ODR woj. zachodniopomorskie'!O19)-27</f>
        <v>833</v>
      </c>
      <c r="P19" s="35"/>
      <c r="Q19" s="35"/>
      <c r="R19" s="35"/>
      <c r="S19" s="35"/>
      <c r="T19" s="35"/>
      <c r="U19" s="35"/>
      <c r="V19" s="35"/>
      <c r="W19" s="35"/>
      <c r="X19" s="35"/>
      <c r="Y19" s="35"/>
    </row>
    <row r="20" spans="1:25">
      <c r="A20" s="2718"/>
      <c r="B20" s="2032"/>
      <c r="C20" s="36">
        <v>2017</v>
      </c>
      <c r="D20" s="37">
        <f>SUM('dolnośląskie:ODR woj. zachodniopomorskie'!D20)</f>
        <v>1039</v>
      </c>
      <c r="E20" s="37">
        <f>SUM('dolnośląskie:ODR woj. zachodniopomorskie'!E20)-5</f>
        <v>264</v>
      </c>
      <c r="F20" s="37">
        <f>SUM('dolnośląskie:ODR woj. zachodniopomorskie'!F20)-13</f>
        <v>24</v>
      </c>
      <c r="G20" s="1845">
        <f t="shared" si="0"/>
        <v>1327</v>
      </c>
      <c r="H20" s="37">
        <f>SUM('dolnośląskie:ODR woj. zachodniopomorskie'!H20)</f>
        <v>273</v>
      </c>
      <c r="I20" s="37">
        <f>SUM('dolnośląskie:ODR woj. zachodniopomorskie'!I20)</f>
        <v>139</v>
      </c>
      <c r="J20" s="37">
        <f>SUM('dolnośląskie:ODR woj. zachodniopomorskie'!J20)</f>
        <v>21</v>
      </c>
      <c r="K20" s="37">
        <f>SUM('dolnośląskie:ODR woj. zachodniopomorskie'!K20)</f>
        <v>226</v>
      </c>
      <c r="L20" s="37">
        <f>SUM('dolnośląskie:ODR woj. zachodniopomorskie'!L20)</f>
        <v>41</v>
      </c>
      <c r="M20" s="37">
        <f>SUM('dolnośląskie:ODR woj. zachodniopomorskie'!M20)</f>
        <v>27</v>
      </c>
      <c r="N20" s="37">
        <f>SUM('dolnośląskie:ODR woj. zachodniopomorskie'!N20)</f>
        <v>0</v>
      </c>
      <c r="O20" s="40">
        <f>SUM('dolnośląskie:ODR woj. zachodniopomorskie'!O20)-18</f>
        <v>602</v>
      </c>
      <c r="P20" s="35"/>
      <c r="Q20" s="35"/>
      <c r="R20" s="35"/>
      <c r="S20" s="35"/>
      <c r="T20" s="35"/>
      <c r="U20" s="35"/>
      <c r="V20" s="35"/>
      <c r="W20" s="35"/>
      <c r="X20" s="35"/>
      <c r="Y20" s="35"/>
    </row>
    <row r="21" spans="1:25">
      <c r="A21" s="2718"/>
      <c r="B21" s="2032"/>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2718"/>
      <c r="B22" s="2032"/>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2718"/>
      <c r="B23" s="2032"/>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9.5" customHeight="1" thickBot="1">
      <c r="A24" s="2612"/>
      <c r="B24" s="2719"/>
      <c r="C24" s="42" t="s">
        <v>13</v>
      </c>
      <c r="D24" s="43">
        <f>SUM(D17:D23)</f>
        <v>2892</v>
      </c>
      <c r="E24" s="44">
        <f>SUM(E17:E23)</f>
        <v>417</v>
      </c>
      <c r="F24" s="44">
        <f>SUM(F17:F23)</f>
        <v>73</v>
      </c>
      <c r="G24" s="45">
        <f>SUM(D24:F24)</f>
        <v>3382</v>
      </c>
      <c r="H24" s="46">
        <f>SUM(H17:H23)</f>
        <v>619</v>
      </c>
      <c r="I24" s="47">
        <f>SUM(I17:I23)</f>
        <v>364</v>
      </c>
      <c r="J24" s="47">
        <f t="shared" ref="J24:N24" si="1">SUM(J17:J23)</f>
        <v>46</v>
      </c>
      <c r="K24" s="47">
        <f t="shared" si="1"/>
        <v>539</v>
      </c>
      <c r="L24" s="47">
        <f t="shared" si="1"/>
        <v>102</v>
      </c>
      <c r="M24" s="47">
        <f t="shared" si="1"/>
        <v>45</v>
      </c>
      <c r="N24" s="47">
        <f t="shared" si="1"/>
        <v>4</v>
      </c>
      <c r="O24" s="48">
        <f>SUM(O17:O23)</f>
        <v>1665</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1839"/>
      <c r="B26" s="1814"/>
      <c r="C26" s="50"/>
      <c r="D26" s="2423" t="s">
        <v>5</v>
      </c>
      <c r="E26" s="2490"/>
      <c r="F26" s="2490"/>
      <c r="G26" s="2491"/>
      <c r="H26" s="15"/>
      <c r="I26" s="16"/>
      <c r="J26" s="17"/>
      <c r="K26" s="17"/>
      <c r="L26" s="17"/>
      <c r="M26" s="17"/>
      <c r="N26" s="17"/>
      <c r="O26" s="15"/>
      <c r="P26" s="15"/>
    </row>
    <row r="27" spans="1:25" s="56" customFormat="1" ht="93" customHeight="1">
      <c r="A27" s="1846"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720"/>
      <c r="B28" s="1855"/>
      <c r="C28" s="57">
        <v>2014</v>
      </c>
      <c r="D28" s="33"/>
      <c r="E28" s="31"/>
      <c r="F28" s="31"/>
      <c r="G28" s="58">
        <f>SUM(D28:F28)</f>
        <v>0</v>
      </c>
      <c r="H28" s="35"/>
      <c r="I28" s="35"/>
      <c r="J28" s="35"/>
      <c r="K28" s="35"/>
      <c r="L28" s="35"/>
      <c r="M28" s="35"/>
      <c r="N28" s="35"/>
      <c r="O28" s="35"/>
      <c r="P28" s="35"/>
      <c r="Q28" s="7"/>
    </row>
    <row r="29" spans="1:25">
      <c r="A29" s="2721"/>
      <c r="B29" s="1855"/>
      <c r="C29" s="59">
        <v>2015</v>
      </c>
      <c r="D29" s="39">
        <f>SUM('dolnośląskie:ODR woj. zachodniopomorskie'!D29)</f>
        <v>228728</v>
      </c>
      <c r="E29" s="38">
        <f>SUM('dolnośląskie:ODR woj. zachodniopomorskie'!E29)</f>
        <v>623060</v>
      </c>
      <c r="F29" s="1853">
        <f>SUM('dolnośląskie:ODR woj. zachodniopomorskie'!F29)</f>
        <v>51429</v>
      </c>
      <c r="G29" s="58">
        <f t="shared" ref="G29:G35" si="2">SUM(D29:F29)</f>
        <v>903217</v>
      </c>
      <c r="H29" s="35"/>
      <c r="I29" s="35"/>
      <c r="J29" s="35"/>
      <c r="K29" s="35"/>
      <c r="L29" s="35"/>
      <c r="M29" s="35"/>
      <c r="N29" s="35"/>
      <c r="O29" s="35"/>
      <c r="P29" s="35"/>
      <c r="Q29" s="7"/>
    </row>
    <row r="30" spans="1:25">
      <c r="A30" s="2721"/>
      <c r="B30" s="1855"/>
      <c r="C30" s="59">
        <v>2016</v>
      </c>
      <c r="D30" s="39">
        <f>SUM('dolnośląskie:ODR woj. zachodniopomorskie'!D30)</f>
        <v>1115363</v>
      </c>
      <c r="E30" s="37">
        <f>SUM('dolnośląskie:ODR woj. zachodniopomorskie'!E30)-283500</f>
        <v>1094505</v>
      </c>
      <c r="F30" s="37">
        <f>SUM('dolnośląskie:ODR woj. zachodniopomorskie'!F30)-2555000</f>
        <v>963873</v>
      </c>
      <c r="G30" s="58">
        <f t="shared" si="2"/>
        <v>3173741</v>
      </c>
      <c r="H30" s="35"/>
      <c r="I30" s="35"/>
      <c r="J30" s="35"/>
      <c r="K30" s="35"/>
      <c r="L30" s="35"/>
      <c r="M30" s="35"/>
      <c r="N30" s="35"/>
      <c r="O30" s="35"/>
      <c r="P30" s="35"/>
      <c r="Q30" s="7"/>
    </row>
    <row r="31" spans="1:25">
      <c r="A31" s="2721"/>
      <c r="B31" s="1855"/>
      <c r="C31" s="59">
        <v>2017</v>
      </c>
      <c r="D31" s="39">
        <f>SUM('dolnośląskie:ODR woj. zachodniopomorskie'!D31)</f>
        <v>1201223</v>
      </c>
      <c r="E31" s="37">
        <f>SUM('dolnośląskie:ODR woj. zachodniopomorskie'!E31)-138000</f>
        <v>1208419</v>
      </c>
      <c r="F31" s="37">
        <f>SUM('dolnośląskie:ODR woj. zachodniopomorskie'!F31)-3485800</f>
        <v>1249649</v>
      </c>
      <c r="G31" s="58">
        <f t="shared" si="2"/>
        <v>3659291</v>
      </c>
      <c r="H31" s="35"/>
      <c r="I31" s="35"/>
      <c r="J31" s="35"/>
      <c r="K31" s="35"/>
      <c r="L31" s="35"/>
      <c r="M31" s="35"/>
      <c r="N31" s="35"/>
      <c r="O31" s="35"/>
      <c r="P31" s="35"/>
      <c r="Q31" s="7"/>
    </row>
    <row r="32" spans="1:25">
      <c r="A32" s="2721"/>
      <c r="B32" s="1855"/>
      <c r="C32" s="59">
        <v>2018</v>
      </c>
      <c r="D32" s="39"/>
      <c r="E32" s="38"/>
      <c r="F32" s="38"/>
      <c r="G32" s="58">
        <f>SUM(D32:F32)</f>
        <v>0</v>
      </c>
      <c r="H32" s="35"/>
      <c r="I32" s="35"/>
      <c r="J32" s="35"/>
      <c r="K32" s="35"/>
      <c r="L32" s="35"/>
      <c r="M32" s="35"/>
      <c r="N32" s="35"/>
      <c r="O32" s="35"/>
      <c r="P32" s="35"/>
      <c r="Q32" s="7"/>
    </row>
    <row r="33" spans="1:17">
      <c r="A33" s="2721"/>
      <c r="B33" s="1855"/>
      <c r="C33" s="60">
        <v>2019</v>
      </c>
      <c r="D33" s="39"/>
      <c r="E33" s="38"/>
      <c r="F33" s="38"/>
      <c r="G33" s="58">
        <f t="shared" si="2"/>
        <v>0</v>
      </c>
      <c r="H33" s="35"/>
      <c r="I33" s="35"/>
      <c r="J33" s="35"/>
      <c r="K33" s="35"/>
      <c r="L33" s="35"/>
      <c r="M33" s="35"/>
      <c r="N33" s="35"/>
      <c r="O33" s="35"/>
      <c r="P33" s="35"/>
      <c r="Q33" s="7"/>
    </row>
    <row r="34" spans="1:17">
      <c r="A34" s="2721"/>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2722"/>
      <c r="C35" s="61" t="s">
        <v>13</v>
      </c>
      <c r="D35" s="46">
        <f>SUM(D28:D34)</f>
        <v>2545314</v>
      </c>
      <c r="E35" s="44">
        <f>SUM(E28:E34)</f>
        <v>2925984</v>
      </c>
      <c r="F35" s="44">
        <f>SUM(F28:F34)</f>
        <v>2264951</v>
      </c>
      <c r="G35" s="48">
        <f t="shared" si="2"/>
        <v>7736249</v>
      </c>
      <c r="H35" s="35"/>
      <c r="I35" s="35"/>
      <c r="J35" s="35"/>
      <c r="K35" s="35"/>
      <c r="L35" s="35"/>
      <c r="M35" s="35"/>
      <c r="N35" s="35"/>
      <c r="O35" s="35"/>
      <c r="P35" s="35"/>
      <c r="Q35" s="7"/>
    </row>
    <row r="36" spans="1:17">
      <c r="A36" s="1810"/>
      <c r="B36" s="1810"/>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1840" t="s">
        <v>26</v>
      </c>
      <c r="B39" s="1816" t="s">
        <v>171</v>
      </c>
      <c r="C39" s="68" t="s">
        <v>9</v>
      </c>
      <c r="D39" s="1750" t="s">
        <v>28</v>
      </c>
      <c r="E39" s="70" t="s">
        <v>29</v>
      </c>
      <c r="F39" s="71"/>
      <c r="G39" s="28"/>
      <c r="H39" s="28"/>
    </row>
    <row r="40" spans="1:17">
      <c r="A40" s="2720"/>
      <c r="B40" s="1855"/>
      <c r="C40" s="72">
        <v>2014</v>
      </c>
      <c r="D40" s="30"/>
      <c r="E40" s="29"/>
      <c r="F40" s="7"/>
      <c r="G40" s="35"/>
      <c r="H40" s="35"/>
    </row>
    <row r="41" spans="1:17">
      <c r="A41" s="2721"/>
      <c r="B41" s="1855"/>
      <c r="C41" s="73">
        <v>2015</v>
      </c>
      <c r="D41" s="37">
        <f>SUM('dolnośląskie:ODR woj. zachodniopomorskie'!D41)</f>
        <v>6994611</v>
      </c>
      <c r="E41" s="36">
        <f>SUM('dolnośląskie:ODR woj. zachodniopomorskie'!E41)</f>
        <v>2477625</v>
      </c>
      <c r="F41" s="7"/>
      <c r="G41" s="35"/>
      <c r="H41" s="35"/>
    </row>
    <row r="42" spans="1:17">
      <c r="A42" s="2721"/>
      <c r="B42" s="1855"/>
      <c r="C42" s="73">
        <v>2016</v>
      </c>
      <c r="D42" s="37">
        <f>SUM('dolnośląskie:ODR woj. zachodniopomorskie'!D42)</f>
        <v>3298561</v>
      </c>
      <c r="E42" s="36">
        <f>SUM('dolnośląskie:ODR woj. zachodniopomorskie'!E42)</f>
        <v>1261942</v>
      </c>
      <c r="F42" s="7"/>
      <c r="G42" s="35"/>
      <c r="H42" s="35"/>
    </row>
    <row r="43" spans="1:17">
      <c r="A43" s="2721"/>
      <c r="B43" s="1855"/>
      <c r="C43" s="73">
        <v>2017</v>
      </c>
      <c r="D43" s="37">
        <f>SUM('dolnośląskie:ODR woj. zachodniopomorskie'!D43)</f>
        <v>28646134</v>
      </c>
      <c r="E43" s="36">
        <f>SUM('dolnośląskie:ODR woj. zachodniopomorskie'!E43)</f>
        <v>20829632</v>
      </c>
      <c r="F43" s="7"/>
      <c r="G43" s="35"/>
      <c r="H43" s="35"/>
    </row>
    <row r="44" spans="1:17">
      <c r="A44" s="2721"/>
      <c r="B44" s="1855"/>
      <c r="C44" s="73">
        <v>2018</v>
      </c>
      <c r="D44" s="37"/>
      <c r="E44" s="36"/>
      <c r="F44" s="7"/>
      <c r="G44" s="35"/>
      <c r="H44" s="35"/>
    </row>
    <row r="45" spans="1:17">
      <c r="A45" s="2721"/>
      <c r="B45" s="1855"/>
      <c r="C45" s="73">
        <v>2019</v>
      </c>
      <c r="D45" s="37"/>
      <c r="E45" s="36"/>
      <c r="F45" s="7"/>
      <c r="G45" s="35"/>
      <c r="H45" s="35"/>
    </row>
    <row r="46" spans="1:17">
      <c r="A46" s="2721"/>
      <c r="B46" s="1855"/>
      <c r="C46" s="73">
        <v>2020</v>
      </c>
      <c r="D46" s="37"/>
      <c r="E46" s="36"/>
      <c r="F46" s="7"/>
      <c r="G46" s="35"/>
      <c r="H46" s="35"/>
    </row>
    <row r="47" spans="1:17" ht="15.75" thickBot="1">
      <c r="A47" s="1856"/>
      <c r="B47" s="2722"/>
      <c r="C47" s="42" t="s">
        <v>13</v>
      </c>
      <c r="D47" s="43">
        <f>SUM(D40:D46)</f>
        <v>38939306</v>
      </c>
      <c r="E47" s="455">
        <f>SUM(E40:E46)</f>
        <v>24569199</v>
      </c>
      <c r="F47" s="78"/>
      <c r="G47" s="35"/>
      <c r="H47" s="35"/>
    </row>
    <row r="48" spans="1:17" s="35" customFormat="1" ht="15.75" thickBot="1">
      <c r="A48" s="1817"/>
      <c r="B48" s="80"/>
      <c r="C48" s="81"/>
    </row>
    <row r="49" spans="1:15" ht="83.25" customHeight="1">
      <c r="A49" s="1753" t="s">
        <v>32</v>
      </c>
      <c r="B49" s="1816" t="s">
        <v>171</v>
      </c>
      <c r="C49" s="84" t="s">
        <v>9</v>
      </c>
      <c r="D49" s="1750"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2720"/>
      <c r="B51" s="1881"/>
      <c r="C51" s="73">
        <v>2014</v>
      </c>
      <c r="D51" s="37"/>
      <c r="E51" s="38"/>
      <c r="F51" s="38"/>
      <c r="G51" s="38"/>
      <c r="H51" s="38"/>
      <c r="I51" s="38"/>
      <c r="J51" s="38"/>
      <c r="K51" s="88"/>
    </row>
    <row r="52" spans="1:15">
      <c r="A52" s="2720"/>
      <c r="B52" s="1881"/>
      <c r="C52" s="73">
        <v>2015</v>
      </c>
      <c r="D52" s="37">
        <f>SUM('dolnośląskie:ODR woj. zachodniopomorskie'!D52)</f>
        <v>6</v>
      </c>
      <c r="E52" s="37">
        <f>SUM('dolnośląskie:ODR woj. zachodniopomorskie'!E52)</f>
        <v>0</v>
      </c>
      <c r="F52" s="37">
        <f>SUM('dolnośląskie:ODR woj. zachodniopomorskie'!F52)</f>
        <v>0</v>
      </c>
      <c r="G52" s="37">
        <f>SUM('dolnośląskie:ODR woj. zachodniopomorskie'!G52)</f>
        <v>7623</v>
      </c>
      <c r="H52" s="37">
        <f>SUM('dolnośląskie:ODR woj. zachodniopomorskie'!H52)</f>
        <v>5009</v>
      </c>
      <c r="I52" s="37">
        <f>SUM('dolnośląskie:ODR woj. zachodniopomorskie'!I52)</f>
        <v>11</v>
      </c>
      <c r="J52" s="37">
        <f>SUM('dolnośląskie:ODR woj. zachodniopomorskie'!J52)</f>
        <v>132</v>
      </c>
      <c r="K52" s="88">
        <f>SUM('dolnośląskie:ODR woj. zachodniopomorskie'!K52)</f>
        <v>3414</v>
      </c>
    </row>
    <row r="53" spans="1:15">
      <c r="A53" s="2720"/>
      <c r="B53" s="1881"/>
      <c r="C53" s="73">
        <v>2016</v>
      </c>
      <c r="D53" s="37">
        <f>SUM('dolnośląskie:ODR woj. zachodniopomorskie'!D53)</f>
        <v>13</v>
      </c>
      <c r="E53" s="37">
        <f>SUM('dolnośląskie:ODR woj. zachodniopomorskie'!E53)</f>
        <v>2</v>
      </c>
      <c r="F53" s="37">
        <f>SUM('dolnośląskie:ODR woj. zachodniopomorskie'!F53)</f>
        <v>1</v>
      </c>
      <c r="G53" s="37">
        <f>SUM('dolnośląskie:ODR woj. zachodniopomorskie'!G53)</f>
        <v>36063</v>
      </c>
      <c r="H53" s="37">
        <f>SUM('dolnośląskie:ODR woj. zachodniopomorskie'!H53)</f>
        <v>34</v>
      </c>
      <c r="I53" s="37">
        <f>SUM('dolnośląskie:ODR woj. zachodniopomorskie'!I53)</f>
        <v>86</v>
      </c>
      <c r="J53" s="37">
        <f>SUM('dolnośląskie:ODR woj. zachodniopomorskie'!J53)</f>
        <v>1702</v>
      </c>
      <c r="K53" s="88">
        <f>SUM('dolnośląskie:ODR woj. zachodniopomorskie'!K53)</f>
        <v>83711</v>
      </c>
    </row>
    <row r="54" spans="1:15">
      <c r="A54" s="2720"/>
      <c r="B54" s="1881"/>
      <c r="C54" s="73">
        <v>2017</v>
      </c>
      <c r="D54" s="37">
        <f>SUM('dolnośląskie:ODR woj. zachodniopomorskie'!D54)</f>
        <v>16</v>
      </c>
      <c r="E54" s="37">
        <f>SUM('dolnośląskie:ODR woj. zachodniopomorskie'!E54)</f>
        <v>0</v>
      </c>
      <c r="F54" s="37">
        <f>SUM('dolnośląskie:ODR woj. zachodniopomorskie'!F54)</f>
        <v>1</v>
      </c>
      <c r="G54" s="37">
        <f>SUM('dolnośląskie:ODR woj. zachodniopomorskie'!G54)</f>
        <v>33479</v>
      </c>
      <c r="H54" s="37">
        <f>SUM('dolnośląskie:ODR woj. zachodniopomorskie'!H54)</f>
        <v>955</v>
      </c>
      <c r="I54" s="37">
        <f>SUM('dolnośląskie:ODR woj. zachodniopomorskie'!I54)</f>
        <v>184</v>
      </c>
      <c r="J54" s="37">
        <f>SUM('dolnośląskie:ODR woj. zachodniopomorskie'!J54)</f>
        <v>1684</v>
      </c>
      <c r="K54" s="88">
        <f>SUM('dolnośląskie:ODR woj. zachodniopomorskie'!K54)</f>
        <v>53864</v>
      </c>
    </row>
    <row r="55" spans="1:15">
      <c r="A55" s="2720"/>
      <c r="B55" s="1881"/>
      <c r="C55" s="73">
        <v>2018</v>
      </c>
      <c r="D55" s="37"/>
      <c r="E55" s="38"/>
      <c r="F55" s="38"/>
      <c r="G55" s="38"/>
      <c r="H55" s="38"/>
      <c r="I55" s="38"/>
      <c r="J55" s="38"/>
      <c r="K55" s="88"/>
    </row>
    <row r="56" spans="1:15">
      <c r="A56" s="2720"/>
      <c r="B56" s="1881"/>
      <c r="C56" s="73">
        <v>2019</v>
      </c>
      <c r="D56" s="37"/>
      <c r="E56" s="38"/>
      <c r="F56" s="38"/>
      <c r="G56" s="38"/>
      <c r="H56" s="38"/>
      <c r="I56" s="38"/>
      <c r="J56" s="38"/>
      <c r="K56" s="88"/>
    </row>
    <row r="57" spans="1:15">
      <c r="A57" s="2720"/>
      <c r="B57" s="1881"/>
      <c r="C57" s="73">
        <v>2020</v>
      </c>
      <c r="D57" s="37"/>
      <c r="E57" s="38"/>
      <c r="F57" s="38"/>
      <c r="G57" s="38"/>
      <c r="H57" s="38"/>
      <c r="I57" s="38"/>
      <c r="J57" s="38"/>
      <c r="K57" s="93"/>
    </row>
    <row r="58" spans="1:15" ht="20.25" customHeight="1" thickBot="1">
      <c r="A58" s="1876"/>
      <c r="B58" s="2723"/>
      <c r="C58" s="42" t="s">
        <v>13</v>
      </c>
      <c r="D58" s="43">
        <f>SUM(D51:D57)</f>
        <v>35</v>
      </c>
      <c r="E58" s="44">
        <f>SUM(E51:E57)</f>
        <v>2</v>
      </c>
      <c r="F58" s="44">
        <f>SUM(F51:F57)</f>
        <v>2</v>
      </c>
      <c r="G58" s="44">
        <f>SUM(G51:G57)</f>
        <v>77165</v>
      </c>
      <c r="H58" s="44">
        <f>SUM(H51:H57)</f>
        <v>5998</v>
      </c>
      <c r="I58" s="44">
        <f t="shared" ref="I58" si="3">SUM(I51:I57)</f>
        <v>281</v>
      </c>
      <c r="J58" s="44">
        <f>SUM(J51:J57)</f>
        <v>3518</v>
      </c>
      <c r="K58" s="48">
        <f>SUM(K50:K56)</f>
        <v>140989</v>
      </c>
    </row>
    <row r="59" spans="1:15" ht="15.75" thickBot="1"/>
    <row r="60" spans="1:15" ht="21" customHeight="1">
      <c r="A60" s="2494" t="s">
        <v>44</v>
      </c>
      <c r="B60" s="1818"/>
      <c r="C60" s="2486" t="s">
        <v>9</v>
      </c>
      <c r="D60" s="2417" t="s">
        <v>45</v>
      </c>
      <c r="E60" s="1541" t="s">
        <v>6</v>
      </c>
      <c r="F60" s="1819"/>
      <c r="G60" s="1819"/>
      <c r="H60" s="1819"/>
      <c r="I60" s="1819"/>
      <c r="J60" s="1819"/>
      <c r="K60" s="1819"/>
      <c r="L60" s="1820"/>
    </row>
    <row r="61" spans="1:15" ht="115.5" customHeight="1">
      <c r="A61" s="2724"/>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725"/>
      <c r="B62" s="2032"/>
      <c r="C62" s="106">
        <v>2014</v>
      </c>
      <c r="D62" s="107"/>
      <c r="E62" s="108"/>
      <c r="F62" s="109"/>
      <c r="G62" s="109"/>
      <c r="H62" s="109"/>
      <c r="I62" s="109"/>
      <c r="J62" s="109"/>
      <c r="K62" s="109"/>
      <c r="L62" s="34"/>
      <c r="M62" s="7"/>
      <c r="N62" s="7"/>
      <c r="O62" s="7"/>
    </row>
    <row r="63" spans="1:15">
      <c r="A63" s="2726"/>
      <c r="B63" s="2032"/>
      <c r="C63" s="110">
        <v>2015</v>
      </c>
      <c r="D63" s="37">
        <f>SUM('dolnośląskie:ODR woj. zachodniopomorskie'!D63)</f>
        <v>80</v>
      </c>
      <c r="E63" s="112">
        <f>SUM('dolnośląskie:ODR woj. zachodniopomorskie'!E63)</f>
        <v>26</v>
      </c>
      <c r="F63" s="37">
        <f>SUM('dolnośląskie:ODR woj. zachodniopomorskie'!F63)</f>
        <v>12</v>
      </c>
      <c r="G63" s="37">
        <f>SUM('dolnośląskie:ODR woj. zachodniopomorskie'!G63)</f>
        <v>0</v>
      </c>
      <c r="H63" s="37">
        <f>SUM('dolnośląskie:ODR woj. zachodniopomorskie'!H63)</f>
        <v>2</v>
      </c>
      <c r="I63" s="37">
        <f>SUM('dolnośląskie:ODR woj. zachodniopomorskie'!I63)</f>
        <v>4</v>
      </c>
      <c r="J63" s="37">
        <f>SUM('dolnośląskie:ODR woj. zachodniopomorskie'!J63)</f>
        <v>1</v>
      </c>
      <c r="K63" s="37">
        <f>SUM('dolnośląskie:ODR woj. zachodniopomorskie'!K63)</f>
        <v>0</v>
      </c>
      <c r="L63" s="88">
        <f>SUM('dolnośląskie:ODR woj. zachodniopomorskie'!L63)</f>
        <v>35</v>
      </c>
      <c r="M63" s="7"/>
      <c r="N63" s="7"/>
      <c r="O63" s="7"/>
    </row>
    <row r="64" spans="1:15">
      <c r="A64" s="2726"/>
      <c r="B64" s="2032"/>
      <c r="C64" s="110">
        <v>2016</v>
      </c>
      <c r="D64" s="37">
        <f>SUM('dolnośląskie:ODR woj. zachodniopomorskie'!D64)</f>
        <v>749</v>
      </c>
      <c r="E64" s="112">
        <f>SUM('dolnośląskie:ODR woj. zachodniopomorskie'!E64)</f>
        <v>395</v>
      </c>
      <c r="F64" s="37">
        <f>SUM('dolnośląskie:ODR woj. zachodniopomorskie'!F64)</f>
        <v>100</v>
      </c>
      <c r="G64" s="37">
        <f>SUM('dolnośląskie:ODR woj. zachodniopomorskie'!G64)</f>
        <v>15</v>
      </c>
      <c r="H64" s="37">
        <f>SUM('dolnośląskie:ODR woj. zachodniopomorskie'!H64)</f>
        <v>43</v>
      </c>
      <c r="I64" s="37">
        <f>SUM('dolnośląskie:ODR woj. zachodniopomorskie'!I64)</f>
        <v>1</v>
      </c>
      <c r="J64" s="37">
        <f>SUM('dolnośląskie:ODR woj. zachodniopomorskie'!J64)</f>
        <v>0</v>
      </c>
      <c r="K64" s="37">
        <f>SUM('dolnośląskie:ODR woj. zachodniopomorskie'!K64)</f>
        <v>1</v>
      </c>
      <c r="L64" s="88">
        <f>SUM('dolnośląskie:ODR woj. zachodniopomorskie'!L64)</f>
        <v>194</v>
      </c>
      <c r="M64" s="7"/>
      <c r="N64" s="7"/>
      <c r="O64" s="7"/>
    </row>
    <row r="65" spans="1:20">
      <c r="A65" s="2726"/>
      <c r="B65" s="2032"/>
      <c r="C65" s="110">
        <v>2017</v>
      </c>
      <c r="D65" s="37">
        <f>SUM('dolnośląskie:ODR woj. zachodniopomorskie'!D65)</f>
        <v>1508</v>
      </c>
      <c r="E65" s="112">
        <f>SUM('dolnośląskie:ODR woj. zachodniopomorskie'!E65)</f>
        <v>1327</v>
      </c>
      <c r="F65" s="37">
        <f>SUM('dolnośląskie:ODR woj. zachodniopomorskie'!F65)</f>
        <v>33</v>
      </c>
      <c r="G65" s="37">
        <f>SUM('dolnośląskie:ODR woj. zachodniopomorskie'!G65)</f>
        <v>9</v>
      </c>
      <c r="H65" s="37">
        <f>SUM('dolnośląskie:ODR woj. zachodniopomorskie'!H65)</f>
        <v>40</v>
      </c>
      <c r="I65" s="37">
        <f>SUM('dolnośląskie:ODR woj. zachodniopomorskie'!I65)</f>
        <v>0</v>
      </c>
      <c r="J65" s="37">
        <f>SUM('dolnośląskie:ODR woj. zachodniopomorskie'!J65)</f>
        <v>1</v>
      </c>
      <c r="K65" s="37">
        <f>SUM('dolnośląskie:ODR woj. zachodniopomorskie'!K65)</f>
        <v>3</v>
      </c>
      <c r="L65" s="88">
        <f>SUM('dolnośląskie:ODR woj. zachodniopomorskie'!L65)</f>
        <v>95</v>
      </c>
      <c r="M65" s="7"/>
      <c r="N65" s="7"/>
      <c r="O65" s="7"/>
    </row>
    <row r="66" spans="1:20">
      <c r="A66" s="2726"/>
      <c r="B66" s="2032"/>
      <c r="C66" s="110">
        <v>2018</v>
      </c>
      <c r="D66" s="111"/>
      <c r="E66" s="112"/>
      <c r="F66" s="38"/>
      <c r="G66" s="38"/>
      <c r="H66" s="38"/>
      <c r="I66" s="38"/>
      <c r="J66" s="38"/>
      <c r="K66" s="38"/>
      <c r="L66" s="88"/>
      <c r="M66" s="7"/>
      <c r="N66" s="7"/>
      <c r="O66" s="7"/>
    </row>
    <row r="67" spans="1:20" ht="17.25" customHeight="1">
      <c r="A67" s="2726"/>
      <c r="B67" s="2032"/>
      <c r="C67" s="110">
        <v>2019</v>
      </c>
      <c r="D67" s="111"/>
      <c r="E67" s="112"/>
      <c r="F67" s="38"/>
      <c r="G67" s="38"/>
      <c r="H67" s="38"/>
      <c r="I67" s="38"/>
      <c r="J67" s="38"/>
      <c r="K67" s="38"/>
      <c r="L67" s="88"/>
      <c r="M67" s="7"/>
      <c r="N67" s="7"/>
      <c r="O67" s="7"/>
    </row>
    <row r="68" spans="1:20" ht="16.5" customHeight="1">
      <c r="A68" s="2726"/>
      <c r="B68" s="2032"/>
      <c r="C68" s="110">
        <v>2020</v>
      </c>
      <c r="D68" s="111"/>
      <c r="E68" s="112"/>
      <c r="F68" s="38"/>
      <c r="G68" s="38"/>
      <c r="H68" s="38"/>
      <c r="I68" s="38"/>
      <c r="J68" s="38"/>
      <c r="K68" s="38"/>
      <c r="L68" s="88"/>
      <c r="M68" s="78"/>
      <c r="N68" s="78"/>
      <c r="O68" s="78"/>
    </row>
    <row r="69" spans="1:20" ht="18" customHeight="1" thickBot="1">
      <c r="A69" s="2066"/>
      <c r="B69" s="2719"/>
      <c r="C69" s="113" t="s">
        <v>13</v>
      </c>
      <c r="D69" s="114">
        <f>SUM(D62:D68)</f>
        <v>2337</v>
      </c>
      <c r="E69" s="115">
        <f>SUM(E62:E68)</f>
        <v>1748</v>
      </c>
      <c r="F69" s="116">
        <f t="shared" ref="F69:I69" si="4">SUM(F62:F68)</f>
        <v>145</v>
      </c>
      <c r="G69" s="116">
        <f t="shared" si="4"/>
        <v>24</v>
      </c>
      <c r="H69" s="116">
        <f t="shared" si="4"/>
        <v>85</v>
      </c>
      <c r="I69" s="116">
        <f t="shared" si="4"/>
        <v>5</v>
      </c>
      <c r="J69" s="116"/>
      <c r="K69" s="116">
        <f>SUM(K62:K68)</f>
        <v>4</v>
      </c>
      <c r="L69" s="117">
        <f>SUM(L62:L68)</f>
        <v>324</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1840" t="s">
        <v>47</v>
      </c>
      <c r="B71" s="1816" t="s">
        <v>171</v>
      </c>
      <c r="C71" s="68" t="s">
        <v>9</v>
      </c>
      <c r="D71" s="123" t="s">
        <v>49</v>
      </c>
      <c r="E71" s="123" t="s">
        <v>50</v>
      </c>
      <c r="F71" s="124" t="s">
        <v>51</v>
      </c>
      <c r="G71" s="1754" t="s">
        <v>52</v>
      </c>
      <c r="H71" s="126" t="s">
        <v>14</v>
      </c>
      <c r="I71" s="127" t="s">
        <v>15</v>
      </c>
      <c r="J71" s="128" t="s">
        <v>16</v>
      </c>
      <c r="K71" s="127" t="s">
        <v>17</v>
      </c>
      <c r="L71" s="127" t="s">
        <v>18</v>
      </c>
      <c r="M71" s="129" t="s">
        <v>19</v>
      </c>
      <c r="N71" s="128" t="s">
        <v>20</v>
      </c>
      <c r="O71" s="130" t="s">
        <v>21</v>
      </c>
    </row>
    <row r="72" spans="1:20" ht="15" customHeight="1">
      <c r="A72" s="2720"/>
      <c r="B72" s="1899"/>
      <c r="C72" s="72">
        <v>2014</v>
      </c>
      <c r="D72" s="131"/>
      <c r="E72" s="131"/>
      <c r="F72" s="131"/>
      <c r="G72" s="132">
        <f>SUM(D72:F72)</f>
        <v>0</v>
      </c>
      <c r="H72" s="30"/>
      <c r="I72" s="133"/>
      <c r="J72" s="109"/>
      <c r="K72" s="109"/>
      <c r="L72" s="109"/>
      <c r="M72" s="109"/>
      <c r="N72" s="109"/>
      <c r="O72" s="134"/>
    </row>
    <row r="73" spans="1:20">
      <c r="A73" s="2721"/>
      <c r="B73" s="1899"/>
      <c r="C73" s="73">
        <v>2015</v>
      </c>
      <c r="D73" s="37">
        <f>SUM('dolnośląskie:ODR woj. zachodniopomorskie'!D73)</f>
        <v>130</v>
      </c>
      <c r="E73" s="37">
        <f>SUM('dolnośląskie:ODR woj. zachodniopomorskie'!E73)</f>
        <v>6</v>
      </c>
      <c r="F73" s="37">
        <f>SUM('dolnośląskie:ODR woj. zachodniopomorskie'!F73)</f>
        <v>3788</v>
      </c>
      <c r="G73" s="132">
        <f>SUM(D73:F73)</f>
        <v>3924</v>
      </c>
      <c r="H73" s="37">
        <f>SUM('dolnośląskie:ODR woj. zachodniopomorskie'!H73)</f>
        <v>24</v>
      </c>
      <c r="I73" s="37">
        <f>SUM('dolnośląskie:ODR woj. zachodniopomorskie'!I73)</f>
        <v>2483</v>
      </c>
      <c r="J73" s="37">
        <f>SUM('dolnośląskie:ODR woj. zachodniopomorskie'!J73)</f>
        <v>0</v>
      </c>
      <c r="K73" s="37">
        <f>SUM('dolnośląskie:ODR woj. zachodniopomorskie'!K73)</f>
        <v>9</v>
      </c>
      <c r="L73" s="37">
        <f>SUM('dolnośląskie:ODR woj. zachodniopomorskie'!L73)</f>
        <v>2</v>
      </c>
      <c r="M73" s="37">
        <f>SUM('dolnośląskie:ODR woj. zachodniopomorskie'!M73)</f>
        <v>0</v>
      </c>
      <c r="N73" s="37">
        <f>SUM('dolnośląskie:ODR woj. zachodniopomorskie'!N73)</f>
        <v>0</v>
      </c>
      <c r="O73" s="88">
        <f>SUM('dolnośląskie:ODR woj. zachodniopomorskie'!O73)</f>
        <v>1406</v>
      </c>
    </row>
    <row r="74" spans="1:20">
      <c r="A74" s="2721"/>
      <c r="B74" s="1899"/>
      <c r="C74" s="73">
        <v>2016</v>
      </c>
      <c r="D74" s="37">
        <f>SUM('dolnośląskie:ODR woj. zachodniopomorskie'!D74)</f>
        <v>1002</v>
      </c>
      <c r="E74" s="37">
        <f>SUM('dolnośląskie:ODR woj. zachodniopomorskie'!E74)</f>
        <v>57</v>
      </c>
      <c r="F74" s="37">
        <f>SUM('dolnośląskie:ODR woj. zachodniopomorskie'!F74)</f>
        <v>51</v>
      </c>
      <c r="G74" s="132">
        <f>SUM(D74:F74)</f>
        <v>1110</v>
      </c>
      <c r="H74" s="37">
        <f>SUM('dolnośląskie:ODR woj. zachodniopomorskie'!H74)</f>
        <v>27</v>
      </c>
      <c r="I74" s="37">
        <f>SUM('dolnośląskie:ODR woj. zachodniopomorskie'!I74)</f>
        <v>173</v>
      </c>
      <c r="J74" s="37">
        <f>SUM('dolnośląskie:ODR woj. zachodniopomorskie'!J74)</f>
        <v>50</v>
      </c>
      <c r="K74" s="37">
        <f>SUM('dolnośląskie:ODR woj. zachodniopomorskie'!K74)</f>
        <v>42</v>
      </c>
      <c r="L74" s="37">
        <f>SUM('dolnośląskie:ODR woj. zachodniopomorskie'!L74)</f>
        <v>78</v>
      </c>
      <c r="M74" s="37">
        <f>SUM('dolnośląskie:ODR woj. zachodniopomorskie'!M74)</f>
        <v>2</v>
      </c>
      <c r="N74" s="37">
        <f>SUM('dolnośląskie:ODR woj. zachodniopomorskie'!N74)</f>
        <v>0</v>
      </c>
      <c r="O74" s="88">
        <f>SUM('dolnośląskie:ODR woj. zachodniopomorskie'!O74)</f>
        <v>738</v>
      </c>
    </row>
    <row r="75" spans="1:20">
      <c r="A75" s="2721"/>
      <c r="B75" s="1899"/>
      <c r="C75" s="73">
        <v>2017</v>
      </c>
      <c r="D75" s="37">
        <f>SUM('dolnośląskie:ODR woj. zachodniopomorskie'!D75)</f>
        <v>549</v>
      </c>
      <c r="E75" s="37">
        <f>SUM('dolnośląskie:ODR woj. zachodniopomorskie'!E75)</f>
        <v>52</v>
      </c>
      <c r="F75" s="37">
        <f>SUM('dolnośląskie:ODR woj. zachodniopomorskie'!F75)</f>
        <v>96</v>
      </c>
      <c r="G75" s="132">
        <f t="shared" ref="G75:G78" si="5">SUM(D75:F75)</f>
        <v>697</v>
      </c>
      <c r="H75" s="37">
        <f>SUM('dolnośląskie:ODR woj. zachodniopomorskie'!H75)</f>
        <v>100</v>
      </c>
      <c r="I75" s="37">
        <f>SUM('dolnośląskie:ODR woj. zachodniopomorskie'!I75)</f>
        <v>350</v>
      </c>
      <c r="J75" s="37">
        <f>SUM('dolnośląskie:ODR woj. zachodniopomorskie'!J75)</f>
        <v>18</v>
      </c>
      <c r="K75" s="37">
        <f>SUM('dolnośląskie:ODR woj. zachodniopomorskie'!K75)</f>
        <v>60</v>
      </c>
      <c r="L75" s="37">
        <f>SUM('dolnośląskie:ODR woj. zachodniopomorskie'!L75)</f>
        <v>1</v>
      </c>
      <c r="M75" s="37">
        <f>SUM('dolnośląskie:ODR woj. zachodniopomorskie'!M75)</f>
        <v>0</v>
      </c>
      <c r="N75" s="37">
        <f>SUM('dolnośląskie:ODR woj. zachodniopomorskie'!N75)</f>
        <v>0</v>
      </c>
      <c r="O75" s="88">
        <f>SUM('dolnośląskie:ODR woj. zachodniopomorskie'!O75)</f>
        <v>168</v>
      </c>
    </row>
    <row r="76" spans="1:20">
      <c r="A76" s="2721"/>
      <c r="B76" s="1899"/>
      <c r="C76" s="73">
        <v>2018</v>
      </c>
      <c r="D76" s="135"/>
      <c r="E76" s="135"/>
      <c r="F76" s="135"/>
      <c r="G76" s="132">
        <f t="shared" si="5"/>
        <v>0</v>
      </c>
      <c r="H76" s="37"/>
      <c r="I76" s="37"/>
      <c r="J76" s="38"/>
      <c r="K76" s="38"/>
      <c r="L76" s="38"/>
      <c r="M76" s="38"/>
      <c r="N76" s="38"/>
      <c r="O76" s="88"/>
    </row>
    <row r="77" spans="1:20" ht="15.75" customHeight="1">
      <c r="A77" s="2721"/>
      <c r="B77" s="1899"/>
      <c r="C77" s="73">
        <v>2019</v>
      </c>
      <c r="D77" s="135"/>
      <c r="E77" s="135"/>
      <c r="F77" s="135"/>
      <c r="G77" s="132">
        <f t="shared" si="5"/>
        <v>0</v>
      </c>
      <c r="H77" s="37"/>
      <c r="I77" s="37"/>
      <c r="J77" s="38"/>
      <c r="K77" s="38"/>
      <c r="L77" s="38"/>
      <c r="M77" s="38"/>
      <c r="N77" s="38"/>
      <c r="O77" s="88"/>
    </row>
    <row r="78" spans="1:20" ht="17.25" customHeight="1">
      <c r="A78" s="2721"/>
      <c r="B78" s="1899"/>
      <c r="C78" s="73">
        <v>2020</v>
      </c>
      <c r="D78" s="135"/>
      <c r="E78" s="135"/>
      <c r="F78" s="135"/>
      <c r="G78" s="132">
        <f t="shared" si="5"/>
        <v>0</v>
      </c>
      <c r="H78" s="37"/>
      <c r="I78" s="37"/>
      <c r="J78" s="38"/>
      <c r="K78" s="38"/>
      <c r="L78" s="38"/>
      <c r="M78" s="38"/>
      <c r="N78" s="38"/>
      <c r="O78" s="88"/>
    </row>
    <row r="79" spans="1:20" ht="20.25" customHeight="1" thickBot="1">
      <c r="A79" s="1980"/>
      <c r="B79" s="2727"/>
      <c r="C79" s="136" t="s">
        <v>13</v>
      </c>
      <c r="D79" s="114">
        <f>SUM(D72:D78)</f>
        <v>1681</v>
      </c>
      <c r="E79" s="114">
        <f>SUM(E72:E78)</f>
        <v>115</v>
      </c>
      <c r="F79" s="114">
        <f>SUM(F72:F78)</f>
        <v>3935</v>
      </c>
      <c r="G79" s="137">
        <f>SUM(G72:G78)</f>
        <v>5731</v>
      </c>
      <c r="H79" s="139">
        <f>SUM(H73:H78)</f>
        <v>151</v>
      </c>
      <c r="I79" s="139">
        <f t="shared" ref="I79:O79" si="6">SUM(I72:I78)</f>
        <v>3006</v>
      </c>
      <c r="J79" s="116">
        <f t="shared" si="6"/>
        <v>68</v>
      </c>
      <c r="K79" s="116">
        <f t="shared" si="6"/>
        <v>111</v>
      </c>
      <c r="L79" s="116">
        <f t="shared" si="6"/>
        <v>81</v>
      </c>
      <c r="M79" s="116">
        <f t="shared" si="6"/>
        <v>2</v>
      </c>
      <c r="N79" s="116">
        <f t="shared" si="6"/>
        <v>0</v>
      </c>
      <c r="O79" s="117">
        <f t="shared" si="6"/>
        <v>2312</v>
      </c>
      <c r="P79" s="1847"/>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841" t="s">
        <v>56</v>
      </c>
      <c r="B84" s="1821" t="s">
        <v>178</v>
      </c>
      <c r="C84" s="149" t="s">
        <v>9</v>
      </c>
      <c r="D84" s="1755" t="s">
        <v>58</v>
      </c>
      <c r="E84" s="151" t="s">
        <v>59</v>
      </c>
      <c r="F84" s="152" t="s">
        <v>60</v>
      </c>
      <c r="G84" s="152" t="s">
        <v>61</v>
      </c>
      <c r="H84" s="152" t="s">
        <v>62</v>
      </c>
      <c r="I84" s="152" t="s">
        <v>63</v>
      </c>
      <c r="J84" s="152" t="s">
        <v>64</v>
      </c>
      <c r="K84" s="153" t="s">
        <v>65</v>
      </c>
    </row>
    <row r="85" spans="1:16" ht="15" customHeight="1">
      <c r="A85" s="2728"/>
      <c r="B85" s="2697"/>
      <c r="C85" s="72">
        <v>2014</v>
      </c>
      <c r="D85" s="154"/>
      <c r="E85" s="155"/>
      <c r="F85" s="31"/>
      <c r="G85" s="31"/>
      <c r="H85" s="31"/>
      <c r="I85" s="31"/>
      <c r="J85" s="31"/>
      <c r="K85" s="34"/>
    </row>
    <row r="86" spans="1:16">
      <c r="A86" s="2728"/>
      <c r="B86" s="2697"/>
      <c r="C86" s="73">
        <v>2015</v>
      </c>
      <c r="D86" s="37">
        <f>SUM('dolnośląskie:ODR woj. zachodniopomorskie'!D86)</f>
        <v>31</v>
      </c>
      <c r="E86" s="112">
        <f>SUM('dolnośląskie:ODR woj. zachodniopomorskie'!E86)</f>
        <v>1</v>
      </c>
      <c r="F86" s="37">
        <f>SUM('dolnośląskie:ODR woj. zachodniopomorskie'!F86)</f>
        <v>0</v>
      </c>
      <c r="G86" s="37">
        <f>SUM('dolnośląskie:ODR woj. zachodniopomorskie'!G86)</f>
        <v>0</v>
      </c>
      <c r="H86" s="37">
        <f>SUM('dolnośląskie:ODR woj. zachodniopomorskie'!H86)</f>
        <v>0</v>
      </c>
      <c r="I86" s="37">
        <f>SUM('dolnośląskie:ODR woj. zachodniopomorskie'!I86)</f>
        <v>0</v>
      </c>
      <c r="J86" s="37">
        <f>SUM('dolnośląskie:ODR woj. zachodniopomorskie'!J86)</f>
        <v>0</v>
      </c>
      <c r="K86" s="88">
        <f>SUM('dolnośląskie:ODR woj. zachodniopomorskie'!K86)</f>
        <v>30</v>
      </c>
    </row>
    <row r="87" spans="1:16">
      <c r="A87" s="2728"/>
      <c r="B87" s="2697"/>
      <c r="C87" s="73">
        <v>2016</v>
      </c>
      <c r="D87" s="37">
        <f>SUM('dolnośląskie:ODR woj. zachodniopomorskie'!D87)</f>
        <v>21</v>
      </c>
      <c r="E87" s="112">
        <f>SUM('dolnośląskie:ODR woj. zachodniopomorskie'!E87)</f>
        <v>13</v>
      </c>
      <c r="F87" s="37">
        <f>SUM('dolnośląskie:ODR woj. zachodniopomorskie'!F87)</f>
        <v>2</v>
      </c>
      <c r="G87" s="37">
        <f>SUM('dolnośląskie:ODR woj. zachodniopomorskie'!G87)</f>
        <v>0</v>
      </c>
      <c r="H87" s="37">
        <f>SUM('dolnośląskie:ODR woj. zachodniopomorskie'!H87)</f>
        <v>3</v>
      </c>
      <c r="I87" s="37">
        <f>SUM('dolnośląskie:ODR woj. zachodniopomorskie'!I87)</f>
        <v>0</v>
      </c>
      <c r="J87" s="37">
        <f>SUM('dolnośląskie:ODR woj. zachodniopomorskie'!J87)</f>
        <v>0</v>
      </c>
      <c r="K87" s="88">
        <f>SUM('dolnośląskie:ODR woj. zachodniopomorskie'!K87)</f>
        <v>3</v>
      </c>
    </row>
    <row r="88" spans="1:16">
      <c r="A88" s="2728"/>
      <c r="B88" s="2697"/>
      <c r="C88" s="73">
        <v>2017</v>
      </c>
      <c r="D88" s="37">
        <f>SUM('dolnośląskie:ODR woj. zachodniopomorskie'!D88)</f>
        <v>112</v>
      </c>
      <c r="E88" s="112">
        <f>SUM('dolnośląskie:ODR woj. zachodniopomorskie'!E88)</f>
        <v>52</v>
      </c>
      <c r="F88" s="37">
        <f>SUM('dolnośląskie:ODR woj. zachodniopomorskie'!F88)</f>
        <v>7</v>
      </c>
      <c r="G88" s="37">
        <f>SUM('dolnośląskie:ODR woj. zachodniopomorskie'!G88)</f>
        <v>1</v>
      </c>
      <c r="H88" s="37">
        <f>SUM('dolnośląskie:ODR woj. zachodniopomorskie'!H88)</f>
        <v>29</v>
      </c>
      <c r="I88" s="37">
        <f>SUM('dolnośląskie:ODR woj. zachodniopomorskie'!I88)</f>
        <v>22</v>
      </c>
      <c r="J88" s="37">
        <f>SUM('dolnośląskie:ODR woj. zachodniopomorskie'!J88)</f>
        <v>0</v>
      </c>
      <c r="K88" s="88">
        <f>SUM('dolnośląskie:ODR woj. zachodniopomorskie'!K88)</f>
        <v>1</v>
      </c>
    </row>
    <row r="89" spans="1:16">
      <c r="A89" s="2728"/>
      <c r="B89" s="2697"/>
      <c r="C89" s="73">
        <v>2018</v>
      </c>
      <c r="D89" s="156"/>
      <c r="E89" s="112"/>
      <c r="F89" s="38"/>
      <c r="G89" s="38"/>
      <c r="H89" s="38"/>
      <c r="I89" s="38"/>
      <c r="J89" s="38"/>
      <c r="K89" s="88"/>
    </row>
    <row r="90" spans="1:16">
      <c r="A90" s="2728"/>
      <c r="B90" s="2697"/>
      <c r="C90" s="73">
        <v>2019</v>
      </c>
      <c r="D90" s="156"/>
      <c r="E90" s="112"/>
      <c r="F90" s="38"/>
      <c r="G90" s="38"/>
      <c r="H90" s="38"/>
      <c r="I90" s="38"/>
      <c r="J90" s="38"/>
      <c r="K90" s="88"/>
    </row>
    <row r="91" spans="1:16">
      <c r="A91" s="2728"/>
      <c r="B91" s="2697"/>
      <c r="C91" s="73">
        <v>2020</v>
      </c>
      <c r="D91" s="156"/>
      <c r="E91" s="112"/>
      <c r="F91" s="38"/>
      <c r="G91" s="38"/>
      <c r="H91" s="38"/>
      <c r="I91" s="38"/>
      <c r="J91" s="38"/>
      <c r="K91" s="88"/>
    </row>
    <row r="92" spans="1:16" ht="18" customHeight="1" thickBot="1">
      <c r="A92" s="2707"/>
      <c r="B92" s="2729"/>
      <c r="C92" s="136" t="s">
        <v>13</v>
      </c>
      <c r="D92" s="157">
        <f t="shared" ref="D92:I92" si="7">SUM(D85:D91)</f>
        <v>164</v>
      </c>
      <c r="E92" s="115">
        <f t="shared" si="7"/>
        <v>66</v>
      </c>
      <c r="F92" s="116">
        <f t="shared" si="7"/>
        <v>9</v>
      </c>
      <c r="G92" s="116">
        <f t="shared" si="7"/>
        <v>1</v>
      </c>
      <c r="H92" s="116">
        <f t="shared" si="7"/>
        <v>32</v>
      </c>
      <c r="I92" s="116">
        <f t="shared" si="7"/>
        <v>22</v>
      </c>
      <c r="J92" s="116">
        <f>SUM(J85:J91)</f>
        <v>0</v>
      </c>
      <c r="K92" s="117">
        <f>SUM(K85:K91)</f>
        <v>34</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497" t="s">
        <v>68</v>
      </c>
      <c r="B96" s="2481" t="s">
        <v>179</v>
      </c>
      <c r="C96" s="2482" t="s">
        <v>9</v>
      </c>
      <c r="D96" s="2411" t="s">
        <v>70</v>
      </c>
      <c r="E96" s="2412"/>
      <c r="F96" s="1756" t="s">
        <v>71</v>
      </c>
      <c r="G96" s="1822"/>
      <c r="H96" s="1822"/>
      <c r="I96" s="1822"/>
      <c r="J96" s="1822"/>
      <c r="K96" s="1822"/>
      <c r="L96" s="1822"/>
      <c r="M96" s="1823"/>
      <c r="N96" s="165"/>
      <c r="O96" s="165"/>
      <c r="P96" s="165"/>
    </row>
    <row r="97" spans="1:16" ht="100.5" customHeight="1">
      <c r="A97" s="273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732"/>
      <c r="B98" s="2700"/>
      <c r="C98" s="106">
        <v>2014</v>
      </c>
      <c r="D98" s="30"/>
      <c r="E98" s="31"/>
      <c r="F98" s="174"/>
      <c r="G98" s="175"/>
      <c r="H98" s="175"/>
      <c r="I98" s="175"/>
      <c r="J98" s="175"/>
      <c r="K98" s="175"/>
      <c r="L98" s="175"/>
      <c r="M98" s="176"/>
      <c r="N98" s="165"/>
      <c r="O98" s="165"/>
      <c r="P98" s="165"/>
    </row>
    <row r="99" spans="1:16" ht="16.5" customHeight="1">
      <c r="A99" s="2733"/>
      <c r="B99" s="2700"/>
      <c r="C99" s="110">
        <v>2015</v>
      </c>
      <c r="D99" s="37">
        <f>SUM('dolnośląskie:ODR woj. zachodniopomorskie'!D99)</f>
        <v>21</v>
      </c>
      <c r="E99" s="37">
        <f>SUM('dolnośląskie:ODR woj. zachodniopomorskie'!E99)</f>
        <v>30</v>
      </c>
      <c r="F99" s="177">
        <f>SUM('dolnośląskie:ODR woj. zachodniopomorskie'!F99)</f>
        <v>1</v>
      </c>
      <c r="G99" s="37">
        <f>SUM('dolnośląskie:ODR woj. zachodniopomorskie'!G99)</f>
        <v>0</v>
      </c>
      <c r="H99" s="37">
        <f>SUM('dolnośląskie:ODR woj. zachodniopomorskie'!H99)</f>
        <v>0</v>
      </c>
      <c r="I99" s="37">
        <f>SUM('dolnośląskie:ODR woj. zachodniopomorskie'!I99)</f>
        <v>1</v>
      </c>
      <c r="J99" s="37">
        <f>SUM('dolnośląskie:ODR woj. zachodniopomorskie'!J99)</f>
        <v>1</v>
      </c>
      <c r="K99" s="37">
        <f>SUM('dolnośląskie:ODR woj. zachodniopomorskie'!K99)</f>
        <v>0</v>
      </c>
      <c r="L99" s="37">
        <f>SUM('dolnośląskie:ODR woj. zachodniopomorskie'!L99)</f>
        <v>0</v>
      </c>
      <c r="M99" s="179">
        <f>SUM('dolnośląskie:ODR woj. zachodniopomorskie'!M99)</f>
        <v>18</v>
      </c>
      <c r="N99" s="165"/>
      <c r="O99" s="165"/>
      <c r="P99" s="165"/>
    </row>
    <row r="100" spans="1:16" ht="16.5" customHeight="1">
      <c r="A100" s="2733"/>
      <c r="B100" s="2700"/>
      <c r="C100" s="110">
        <v>2016</v>
      </c>
      <c r="D100" s="37">
        <f>SUM('dolnośląskie:ODR woj. zachodniopomorskie'!D100)</f>
        <v>20</v>
      </c>
      <c r="E100" s="37">
        <f>SUM('dolnośląskie:ODR woj. zachodniopomorskie'!E100)</f>
        <v>122</v>
      </c>
      <c r="F100" s="177">
        <f>SUM('dolnośląskie:ODR woj. zachodniopomorskie'!F100)</f>
        <v>1</v>
      </c>
      <c r="G100" s="37">
        <f>SUM('dolnośląskie:ODR woj. zachodniopomorskie'!G100)</f>
        <v>0</v>
      </c>
      <c r="H100" s="37">
        <f>SUM('dolnośląskie:ODR woj. zachodniopomorskie'!H100)</f>
        <v>0</v>
      </c>
      <c r="I100" s="37">
        <f>SUM('dolnośląskie:ODR woj. zachodniopomorskie'!I100)</f>
        <v>1</v>
      </c>
      <c r="J100" s="37">
        <f>SUM('dolnośląskie:ODR woj. zachodniopomorskie'!J100)</f>
        <v>1</v>
      </c>
      <c r="K100" s="37">
        <f>SUM('dolnośląskie:ODR woj. zachodniopomorskie'!K100)</f>
        <v>0</v>
      </c>
      <c r="L100" s="37">
        <f>SUM('dolnośląskie:ODR woj. zachodniopomorskie'!L100)</f>
        <v>0</v>
      </c>
      <c r="M100" s="179">
        <f>SUM('dolnośląskie:ODR woj. zachodniopomorskie'!M100)</f>
        <v>17</v>
      </c>
      <c r="N100" s="165"/>
      <c r="O100" s="165"/>
      <c r="P100" s="165"/>
    </row>
    <row r="101" spans="1:16" ht="16.5" customHeight="1">
      <c r="A101" s="2733"/>
      <c r="B101" s="2700"/>
      <c r="C101" s="110">
        <v>2017</v>
      </c>
      <c r="D101" s="90">
        <f>SUM('dolnośląskie:ODR woj. zachodniopomorskie'!D101)</f>
        <v>24</v>
      </c>
      <c r="E101" s="37">
        <f>SUM('dolnośląskie:ODR woj. zachodniopomorskie'!E101)</f>
        <v>139</v>
      </c>
      <c r="F101" s="177">
        <f>SUM('dolnośląskie:ODR woj. zachodniopomorskie'!F101)</f>
        <v>2</v>
      </c>
      <c r="G101" s="37">
        <f>SUM('dolnośląskie:ODR woj. zachodniopomorskie'!G101)</f>
        <v>0</v>
      </c>
      <c r="H101" s="37">
        <f>SUM('dolnośląskie:ODR woj. zachodniopomorskie'!H101)</f>
        <v>0</v>
      </c>
      <c r="I101" s="37">
        <f>SUM('dolnośląskie:ODR woj. zachodniopomorskie'!I101)</f>
        <v>0</v>
      </c>
      <c r="J101" s="37">
        <f>SUM('dolnośląskie:ODR woj. zachodniopomorskie'!J101)</f>
        <v>1</v>
      </c>
      <c r="K101" s="37">
        <f>SUM('dolnośląskie:ODR woj. zachodniopomorskie'!K101)</f>
        <v>0</v>
      </c>
      <c r="L101" s="37">
        <f>SUM('dolnośląskie:ODR woj. zachodniopomorskie'!L101)</f>
        <v>0</v>
      </c>
      <c r="M101" s="179">
        <f>SUM('dolnośląskie:ODR woj. zachodniopomorskie'!M101)+1</f>
        <v>21</v>
      </c>
      <c r="N101" s="199"/>
      <c r="O101" s="165"/>
      <c r="P101" s="165"/>
    </row>
    <row r="102" spans="1:16" ht="15.75" customHeight="1">
      <c r="A102" s="2733"/>
      <c r="B102" s="2700"/>
      <c r="C102" s="110">
        <v>2018</v>
      </c>
      <c r="D102" s="37"/>
      <c r="E102" s="38"/>
      <c r="F102" s="177"/>
      <c r="G102" s="178"/>
      <c r="H102" s="178"/>
      <c r="I102" s="178"/>
      <c r="J102" s="178"/>
      <c r="K102" s="178"/>
      <c r="L102" s="178"/>
      <c r="M102" s="179"/>
      <c r="N102" s="165"/>
      <c r="O102" s="165"/>
      <c r="P102" s="165"/>
    </row>
    <row r="103" spans="1:16" ht="14.25" customHeight="1">
      <c r="A103" s="2733"/>
      <c r="B103" s="2700"/>
      <c r="C103" s="110">
        <v>2019</v>
      </c>
      <c r="D103" s="37"/>
      <c r="E103" s="38"/>
      <c r="F103" s="177"/>
      <c r="G103" s="178"/>
      <c r="H103" s="178"/>
      <c r="I103" s="178"/>
      <c r="J103" s="178"/>
      <c r="K103" s="178"/>
      <c r="L103" s="178"/>
      <c r="M103" s="179"/>
      <c r="N103" s="165"/>
      <c r="O103" s="165"/>
      <c r="P103" s="165"/>
    </row>
    <row r="104" spans="1:16" ht="14.25" customHeight="1">
      <c r="A104" s="2733"/>
      <c r="B104" s="2700"/>
      <c r="C104" s="110">
        <v>2020</v>
      </c>
      <c r="D104" s="37"/>
      <c r="E104" s="38"/>
      <c r="F104" s="177"/>
      <c r="G104" s="178"/>
      <c r="H104" s="178"/>
      <c r="I104" s="178"/>
      <c r="J104" s="178"/>
      <c r="K104" s="178"/>
      <c r="L104" s="178"/>
      <c r="M104" s="179"/>
      <c r="N104" s="165"/>
      <c r="O104" s="165"/>
      <c r="P104" s="165"/>
    </row>
    <row r="105" spans="1:16" ht="19.5" customHeight="1" thickBot="1">
      <c r="A105" s="2702"/>
      <c r="B105" s="2734"/>
      <c r="C105" s="113" t="s">
        <v>13</v>
      </c>
      <c r="D105" s="139">
        <f>SUM(D98:D104)</f>
        <v>65</v>
      </c>
      <c r="E105" s="116">
        <f t="shared" ref="E105:K105" si="8">SUM(E98:E104)</f>
        <v>291</v>
      </c>
      <c r="F105" s="180">
        <f t="shared" si="8"/>
        <v>4</v>
      </c>
      <c r="G105" s="181">
        <f t="shared" si="8"/>
        <v>0</v>
      </c>
      <c r="H105" s="181">
        <f t="shared" si="8"/>
        <v>0</v>
      </c>
      <c r="I105" s="181">
        <f>SUM(I98:I104)</f>
        <v>2</v>
      </c>
      <c r="J105" s="181">
        <f t="shared" si="8"/>
        <v>3</v>
      </c>
      <c r="K105" s="181">
        <f t="shared" si="8"/>
        <v>0</v>
      </c>
      <c r="L105" s="181">
        <f>SUM(L98:L104)</f>
        <v>0</v>
      </c>
      <c r="M105" s="182">
        <f>SUM(M98:M104)</f>
        <v>56</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497" t="s">
        <v>77</v>
      </c>
      <c r="B107" s="2481" t="s">
        <v>179</v>
      </c>
      <c r="C107" s="2482" t="s">
        <v>9</v>
      </c>
      <c r="D107" s="2414" t="s">
        <v>78</v>
      </c>
      <c r="E107" s="1756" t="s">
        <v>79</v>
      </c>
      <c r="F107" s="1822"/>
      <c r="G107" s="1822"/>
      <c r="H107" s="1822"/>
      <c r="I107" s="1822"/>
      <c r="J107" s="1822"/>
      <c r="K107" s="1822"/>
      <c r="L107" s="1823"/>
      <c r="M107" s="185"/>
      <c r="N107" s="185"/>
    </row>
    <row r="108" spans="1:16" ht="103.5" customHeight="1">
      <c r="A108" s="273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2735"/>
      <c r="B109" s="1899"/>
      <c r="C109" s="106">
        <v>2014</v>
      </c>
      <c r="D109" s="31"/>
      <c r="E109" s="174"/>
      <c r="F109" s="175"/>
      <c r="G109" s="175"/>
      <c r="H109" s="175"/>
      <c r="I109" s="175"/>
      <c r="J109" s="175"/>
      <c r="K109" s="175"/>
      <c r="L109" s="176"/>
      <c r="M109" s="185"/>
      <c r="N109" s="185"/>
    </row>
    <row r="110" spans="1:16">
      <c r="A110" s="2736"/>
      <c r="B110" s="1899"/>
      <c r="C110" s="110">
        <v>2015</v>
      </c>
      <c r="D110" s="37">
        <f>SUM('dolnośląskie:ODR woj. zachodniopomorskie'!D110)</f>
        <v>26</v>
      </c>
      <c r="E110" s="177">
        <f>SUM('dolnośląskie:ODR woj. zachodniopomorskie'!E110)</f>
        <v>16</v>
      </c>
      <c r="F110" s="37">
        <f>SUM('dolnośląskie:ODR woj. zachodniopomorskie'!F110)</f>
        <v>0</v>
      </c>
      <c r="G110" s="37">
        <f>SUM('dolnośląskie:ODR woj. zachodniopomorskie'!G110)</f>
        <v>0</v>
      </c>
      <c r="H110" s="37">
        <f>SUM('dolnośląskie:ODR woj. zachodniopomorskie'!H110)</f>
        <v>0</v>
      </c>
      <c r="I110" s="37">
        <f>SUM('dolnośląskie:ODR woj. zachodniopomorskie'!I110)</f>
        <v>0</v>
      </c>
      <c r="J110" s="37">
        <f>SUM('dolnośląskie:ODR woj. zachodniopomorskie'!J110)</f>
        <v>0</v>
      </c>
      <c r="K110" s="37">
        <f>SUM('dolnośląskie:ODR woj. zachodniopomorskie'!K110)</f>
        <v>0</v>
      </c>
      <c r="L110" s="179">
        <f>SUM('dolnośląskie:ODR woj. zachodniopomorskie'!L110)</f>
        <v>10</v>
      </c>
      <c r="M110" s="185"/>
      <c r="N110" s="185"/>
    </row>
    <row r="111" spans="1:16">
      <c r="A111" s="2736"/>
      <c r="B111" s="1899"/>
      <c r="C111" s="110">
        <v>2016</v>
      </c>
      <c r="D111" s="37">
        <f>SUM('dolnośląskie:ODR woj. zachodniopomorskie'!D111)</f>
        <v>23</v>
      </c>
      <c r="E111" s="177">
        <f>SUM('dolnośląskie:ODR woj. zachodniopomorskie'!E111)</f>
        <v>18</v>
      </c>
      <c r="F111" s="37">
        <f>SUM('dolnośląskie:ODR woj. zachodniopomorskie'!F111)</f>
        <v>0</v>
      </c>
      <c r="G111" s="37">
        <f>SUM('dolnośląskie:ODR woj. zachodniopomorskie'!G111)</f>
        <v>0</v>
      </c>
      <c r="H111" s="37">
        <f>SUM('dolnośląskie:ODR woj. zachodniopomorskie'!H111)</f>
        <v>0</v>
      </c>
      <c r="I111" s="37">
        <f>SUM('dolnośląskie:ODR woj. zachodniopomorskie'!I111)</f>
        <v>1</v>
      </c>
      <c r="J111" s="37">
        <f>SUM('dolnośląskie:ODR woj. zachodniopomorskie'!J111)</f>
        <v>0</v>
      </c>
      <c r="K111" s="37">
        <f>SUM('dolnośląskie:ODR woj. zachodniopomorskie'!K111)</f>
        <v>0</v>
      </c>
      <c r="L111" s="179">
        <f>SUM('dolnośląskie:ODR woj. zachodniopomorskie'!L111)</f>
        <v>4</v>
      </c>
      <c r="M111" s="185"/>
      <c r="N111" s="185"/>
    </row>
    <row r="112" spans="1:16">
      <c r="A112" s="2736"/>
      <c r="B112" s="1899"/>
      <c r="C112" s="110">
        <v>2017</v>
      </c>
      <c r="D112" s="37">
        <f>SUM('dolnośląskie:ODR woj. zachodniopomorskie'!D112)</f>
        <v>363</v>
      </c>
      <c r="E112" s="177">
        <f>SUM('dolnośląskie:ODR woj. zachodniopomorskie'!E112)</f>
        <v>354</v>
      </c>
      <c r="F112" s="37">
        <f>SUM('dolnośląskie:ODR woj. zachodniopomorskie'!F112)</f>
        <v>0</v>
      </c>
      <c r="G112" s="37">
        <f>SUM('dolnośląskie:ODR woj. zachodniopomorskie'!G112)</f>
        <v>0</v>
      </c>
      <c r="H112" s="37">
        <f>SUM('dolnośląskie:ODR woj. zachodniopomorskie'!H112)</f>
        <v>0</v>
      </c>
      <c r="I112" s="37">
        <f>SUM('dolnośląskie:ODR woj. zachodniopomorskie'!I112)</f>
        <v>1</v>
      </c>
      <c r="J112" s="37">
        <f>SUM('dolnośląskie:ODR woj. zachodniopomorskie'!J112)</f>
        <v>0</v>
      </c>
      <c r="K112" s="37">
        <f>SUM('dolnośląskie:ODR woj. zachodniopomorskie'!K112)</f>
        <v>0</v>
      </c>
      <c r="L112" s="179">
        <f>SUM('dolnośląskie:ODR woj. zachodniopomorskie'!L112)</f>
        <v>8</v>
      </c>
      <c r="M112" s="185"/>
      <c r="N112" s="185"/>
    </row>
    <row r="113" spans="1:14">
      <c r="A113" s="2736"/>
      <c r="B113" s="1899"/>
      <c r="C113" s="110">
        <v>2018</v>
      </c>
      <c r="D113" s="38"/>
      <c r="E113" s="177"/>
      <c r="F113" s="178"/>
      <c r="G113" s="178"/>
      <c r="H113" s="178"/>
      <c r="I113" s="178"/>
      <c r="J113" s="178"/>
      <c r="K113" s="178"/>
      <c r="L113" s="179"/>
      <c r="M113" s="185"/>
      <c r="N113" s="185"/>
    </row>
    <row r="114" spans="1:14">
      <c r="A114" s="2736"/>
      <c r="B114" s="1899"/>
      <c r="C114" s="110">
        <v>2019</v>
      </c>
      <c r="D114" s="38"/>
      <c r="E114" s="177"/>
      <c r="F114" s="178"/>
      <c r="G114" s="178"/>
      <c r="H114" s="178"/>
      <c r="I114" s="178"/>
      <c r="J114" s="178"/>
      <c r="K114" s="178"/>
      <c r="L114" s="179"/>
      <c r="M114" s="185"/>
      <c r="N114" s="185"/>
    </row>
    <row r="115" spans="1:14">
      <c r="A115" s="2736"/>
      <c r="B115" s="1899"/>
      <c r="C115" s="110">
        <v>2020</v>
      </c>
      <c r="D115" s="38"/>
      <c r="E115" s="177"/>
      <c r="F115" s="178"/>
      <c r="G115" s="178"/>
      <c r="H115" s="178"/>
      <c r="I115" s="178"/>
      <c r="J115" s="178"/>
      <c r="K115" s="178"/>
      <c r="L115" s="179"/>
      <c r="M115" s="185"/>
      <c r="N115" s="185"/>
    </row>
    <row r="116" spans="1:14" ht="25.5" customHeight="1" thickBot="1">
      <c r="A116" s="1915"/>
      <c r="B116" s="2727"/>
      <c r="C116" s="113" t="s">
        <v>13</v>
      </c>
      <c r="D116" s="116">
        <f t="shared" ref="D116:I116" si="9">SUM(D109:D115)</f>
        <v>412</v>
      </c>
      <c r="E116" s="180">
        <f t="shared" si="9"/>
        <v>388</v>
      </c>
      <c r="F116" s="181">
        <f t="shared" si="9"/>
        <v>0</v>
      </c>
      <c r="G116" s="181">
        <f t="shared" si="9"/>
        <v>0</v>
      </c>
      <c r="H116" s="181">
        <f t="shared" si="9"/>
        <v>0</v>
      </c>
      <c r="I116" s="181">
        <f t="shared" si="9"/>
        <v>2</v>
      </c>
      <c r="J116" s="181"/>
      <c r="K116" s="181">
        <f>SUM(K109:K115)</f>
        <v>0</v>
      </c>
      <c r="L116" s="182">
        <f>SUM(L109:L115)</f>
        <v>22</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497" t="s">
        <v>81</v>
      </c>
      <c r="B118" s="2481" t="s">
        <v>179</v>
      </c>
      <c r="C118" s="2482" t="s">
        <v>9</v>
      </c>
      <c r="D118" s="2414" t="s">
        <v>82</v>
      </c>
      <c r="E118" s="1756" t="s">
        <v>79</v>
      </c>
      <c r="F118" s="1822"/>
      <c r="G118" s="1822"/>
      <c r="H118" s="1822"/>
      <c r="I118" s="1822"/>
      <c r="J118" s="1822"/>
      <c r="K118" s="1822"/>
      <c r="L118" s="1823"/>
      <c r="M118" s="185"/>
      <c r="N118" s="185"/>
    </row>
    <row r="119" spans="1:14" ht="120.75" customHeight="1">
      <c r="A119" s="273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2731"/>
      <c r="B120" s="2697"/>
      <c r="C120" s="106">
        <v>2014</v>
      </c>
      <c r="D120" s="31"/>
      <c r="E120" s="174"/>
      <c r="F120" s="175"/>
      <c r="G120" s="175"/>
      <c r="H120" s="175"/>
      <c r="I120" s="175"/>
      <c r="J120" s="175"/>
      <c r="K120" s="175"/>
      <c r="L120" s="176"/>
      <c r="M120" s="185"/>
      <c r="N120" s="185"/>
    </row>
    <row r="121" spans="1:14">
      <c r="A121" s="2726"/>
      <c r="B121" s="2697"/>
      <c r="C121" s="110">
        <v>2015</v>
      </c>
      <c r="D121" s="37">
        <f>SUM('dolnośląskie:ODR woj. zachodniopomorskie'!D121)</f>
        <v>0</v>
      </c>
      <c r="E121" s="177"/>
      <c r="F121" s="111"/>
      <c r="G121" s="111"/>
      <c r="H121" s="111"/>
      <c r="I121" s="111"/>
      <c r="J121" s="111"/>
      <c r="K121" s="111"/>
      <c r="L121" s="179"/>
      <c r="M121" s="185"/>
      <c r="N121" s="185"/>
    </row>
    <row r="122" spans="1:14">
      <c r="A122" s="2726"/>
      <c r="B122" s="2697"/>
      <c r="C122" s="110">
        <v>2016</v>
      </c>
      <c r="D122" s="37">
        <f>SUM('dolnośląskie:ODR woj. zachodniopomorskie'!D122)</f>
        <v>10</v>
      </c>
      <c r="E122" s="177">
        <f>SUM('dolnośląskie:ODR woj. zachodniopomorskie'!E122)</f>
        <v>3</v>
      </c>
      <c r="F122" s="37">
        <f>SUM('dolnośląskie:ODR woj. zachodniopomorskie'!F122)</f>
        <v>0</v>
      </c>
      <c r="G122" s="37">
        <f>SUM('dolnośląskie:ODR woj. zachodniopomorskie'!G122)</f>
        <v>0</v>
      </c>
      <c r="H122" s="37">
        <f>SUM('dolnośląskie:ODR woj. zachodniopomorskie'!H122)</f>
        <v>0</v>
      </c>
      <c r="I122" s="37">
        <f>SUM('dolnośląskie:ODR woj. zachodniopomorskie'!I122)</f>
        <v>1</v>
      </c>
      <c r="J122" s="37">
        <f>SUM('dolnośląskie:ODR woj. zachodniopomorskie'!J122)</f>
        <v>0</v>
      </c>
      <c r="K122" s="37">
        <f>SUM('dolnośląskie:ODR woj. zachodniopomorskie'!K122)</f>
        <v>0</v>
      </c>
      <c r="L122" s="179">
        <f>SUM('dolnośląskie:ODR woj. zachodniopomorskie'!L122)</f>
        <v>6</v>
      </c>
      <c r="M122" s="185"/>
      <c r="N122" s="185"/>
    </row>
    <row r="123" spans="1:14">
      <c r="A123" s="2726"/>
      <c r="B123" s="2697"/>
      <c r="C123" s="110">
        <v>2017</v>
      </c>
      <c r="D123" s="37">
        <f>SUM('dolnośląskie:ODR woj. zachodniopomorskie'!D123)</f>
        <v>9</v>
      </c>
      <c r="E123" s="177">
        <f>SUM('dolnośląskie:ODR woj. zachodniopomorskie'!E123)</f>
        <v>1</v>
      </c>
      <c r="F123" s="37">
        <f>SUM('dolnośląskie:ODR woj. zachodniopomorskie'!F123)</f>
        <v>0</v>
      </c>
      <c r="G123" s="37">
        <f>SUM('dolnośląskie:ODR woj. zachodniopomorskie'!G123)</f>
        <v>0</v>
      </c>
      <c r="H123" s="37">
        <f>SUM('dolnośląskie:ODR woj. zachodniopomorskie'!H123)</f>
        <v>0</v>
      </c>
      <c r="I123" s="37">
        <f>SUM('dolnośląskie:ODR woj. zachodniopomorskie'!I123)</f>
        <v>1</v>
      </c>
      <c r="J123" s="37">
        <f>SUM('dolnośląskie:ODR woj. zachodniopomorskie'!J123)</f>
        <v>0</v>
      </c>
      <c r="K123" s="37">
        <f>SUM('dolnośląskie:ODR woj. zachodniopomorskie'!K123)</f>
        <v>0</v>
      </c>
      <c r="L123" s="179">
        <f>SUM('dolnośląskie:ODR woj. zachodniopomorskie'!L123)</f>
        <v>7</v>
      </c>
      <c r="M123" s="185"/>
      <c r="N123" s="185"/>
    </row>
    <row r="124" spans="1:14">
      <c r="A124" s="2726"/>
      <c r="B124" s="2697"/>
      <c r="C124" s="110">
        <v>2018</v>
      </c>
      <c r="D124" s="38"/>
      <c r="E124" s="177"/>
      <c r="F124" s="178"/>
      <c r="G124" s="178"/>
      <c r="H124" s="178"/>
      <c r="I124" s="178"/>
      <c r="J124" s="178"/>
      <c r="K124" s="178"/>
      <c r="L124" s="179"/>
      <c r="M124" s="185"/>
      <c r="N124" s="185"/>
    </row>
    <row r="125" spans="1:14">
      <c r="A125" s="2726"/>
      <c r="B125" s="2697"/>
      <c r="C125" s="110">
        <v>2019</v>
      </c>
      <c r="D125" s="38"/>
      <c r="E125" s="177"/>
      <c r="F125" s="178"/>
      <c r="G125" s="178"/>
      <c r="H125" s="178"/>
      <c r="I125" s="178"/>
      <c r="J125" s="178"/>
      <c r="K125" s="178"/>
      <c r="L125" s="179"/>
      <c r="M125" s="185"/>
      <c r="N125" s="185"/>
    </row>
    <row r="126" spans="1:14">
      <c r="A126" s="2726"/>
      <c r="B126" s="2697"/>
      <c r="C126" s="110">
        <v>2020</v>
      </c>
      <c r="D126" s="38"/>
      <c r="E126" s="177"/>
      <c r="F126" s="178"/>
      <c r="G126" s="178"/>
      <c r="H126" s="178"/>
      <c r="I126" s="178"/>
      <c r="J126" s="178"/>
      <c r="K126" s="178"/>
      <c r="L126" s="179"/>
      <c r="M126" s="185"/>
      <c r="N126" s="185"/>
    </row>
    <row r="127" spans="1:14" ht="15.75" thickBot="1">
      <c r="A127" s="2595"/>
      <c r="B127" s="2729"/>
      <c r="C127" s="113" t="s">
        <v>13</v>
      </c>
      <c r="D127" s="116">
        <f t="shared" ref="D127:I127" si="10">SUM(D120:D126)</f>
        <v>19</v>
      </c>
      <c r="E127" s="180">
        <f t="shared" si="10"/>
        <v>4</v>
      </c>
      <c r="F127" s="181">
        <f t="shared" si="10"/>
        <v>0</v>
      </c>
      <c r="G127" s="181">
        <f t="shared" si="10"/>
        <v>0</v>
      </c>
      <c r="H127" s="181">
        <f t="shared" si="10"/>
        <v>0</v>
      </c>
      <c r="I127" s="181">
        <f t="shared" si="10"/>
        <v>2</v>
      </c>
      <c r="J127" s="181"/>
      <c r="K127" s="181">
        <f>SUM(K120:K126)</f>
        <v>0</v>
      </c>
      <c r="L127" s="182">
        <f>SUM(L120:L126)</f>
        <v>13</v>
      </c>
      <c r="M127" s="185"/>
      <c r="N127" s="185"/>
    </row>
    <row r="128" spans="1:14" ht="15.75" thickBot="1">
      <c r="A128" s="183"/>
      <c r="B128" s="183"/>
      <c r="C128" s="184"/>
      <c r="D128" s="7"/>
      <c r="E128" s="7"/>
      <c r="H128" s="185"/>
      <c r="I128" s="185"/>
      <c r="J128" s="185"/>
      <c r="K128" s="185"/>
      <c r="L128" s="185"/>
      <c r="M128" s="185"/>
      <c r="N128" s="185"/>
    </row>
    <row r="129" spans="1:16" ht="15" customHeight="1">
      <c r="A129" s="2497" t="s">
        <v>84</v>
      </c>
      <c r="B129" s="2481" t="s">
        <v>179</v>
      </c>
      <c r="C129" s="1824" t="s">
        <v>9</v>
      </c>
      <c r="D129" s="1758" t="s">
        <v>85</v>
      </c>
      <c r="E129" s="1825"/>
      <c r="F129" s="1825"/>
      <c r="G129" s="1759"/>
      <c r="H129" s="185"/>
      <c r="I129" s="185"/>
      <c r="J129" s="185"/>
      <c r="K129" s="185"/>
      <c r="L129" s="185"/>
      <c r="M129" s="185"/>
      <c r="N129" s="185"/>
    </row>
    <row r="130" spans="1:16" ht="77.25" customHeight="1">
      <c r="A130" s="2730"/>
      <c r="B130" s="1912"/>
      <c r="C130" s="1807"/>
      <c r="D130" s="166" t="s">
        <v>86</v>
      </c>
      <c r="E130" s="193" t="s">
        <v>87</v>
      </c>
      <c r="F130" s="167" t="s">
        <v>88</v>
      </c>
      <c r="G130" s="194" t="s">
        <v>13</v>
      </c>
      <c r="H130" s="185"/>
      <c r="I130" s="185"/>
      <c r="J130" s="185"/>
      <c r="K130" s="185"/>
      <c r="L130" s="185"/>
      <c r="M130" s="185"/>
      <c r="N130" s="185"/>
    </row>
    <row r="131" spans="1:16" ht="15" customHeight="1">
      <c r="A131" s="2738"/>
      <c r="B131" s="2032"/>
      <c r="C131" s="1510">
        <v>2015</v>
      </c>
      <c r="D131" s="37">
        <f>SUM('dolnośląskie:ODR woj. zachodniopomorskie'!D131)</f>
        <v>507</v>
      </c>
      <c r="E131" s="37">
        <f>SUM('dolnośląskie:ODR woj. zachodniopomorskie'!E131)</f>
        <v>519</v>
      </c>
      <c r="F131" s="37">
        <f>SUM('dolnośląskie:ODR woj. zachodniopomorskie'!F131)</f>
        <v>0</v>
      </c>
      <c r="G131" s="195">
        <f t="shared" ref="G131:G136" si="11">SUM(D131:F131)</f>
        <v>1026</v>
      </c>
      <c r="H131" s="185"/>
      <c r="I131" s="185"/>
      <c r="J131" s="185"/>
      <c r="K131" s="185"/>
      <c r="L131" s="185"/>
      <c r="M131" s="185"/>
      <c r="N131" s="185"/>
    </row>
    <row r="132" spans="1:16">
      <c r="A132" s="2718"/>
      <c r="B132" s="2032"/>
      <c r="C132" s="110">
        <v>2016</v>
      </c>
      <c r="D132" s="37">
        <f>SUM('dolnośląskie:ODR woj. zachodniopomorskie'!D132)</f>
        <v>1713</v>
      </c>
      <c r="E132" s="37">
        <f>SUM('dolnośląskie:ODR woj. zachodniopomorskie'!E132)</f>
        <v>138</v>
      </c>
      <c r="F132" s="37">
        <f>SUM('dolnośląskie:ODR woj. zachodniopomorskie'!F132)</f>
        <v>1742</v>
      </c>
      <c r="G132" s="195">
        <f>SUM(D132:F132)</f>
        <v>3593</v>
      </c>
      <c r="H132" s="185"/>
      <c r="I132" s="185"/>
      <c r="J132" s="185"/>
      <c r="K132" s="185"/>
      <c r="L132" s="185"/>
      <c r="M132" s="185"/>
      <c r="N132" s="185"/>
    </row>
    <row r="133" spans="1:16">
      <c r="A133" s="2718"/>
      <c r="B133" s="2032"/>
      <c r="C133" s="110">
        <v>2017</v>
      </c>
      <c r="D133" s="37">
        <f>SUM('dolnośląskie:ODR woj. zachodniopomorskie'!D133)</f>
        <v>1687</v>
      </c>
      <c r="E133" s="37">
        <f>SUM('dolnośląskie:ODR woj. zachodniopomorskie'!E133)</f>
        <v>419</v>
      </c>
      <c r="F133" s="37">
        <f>SUM('dolnośląskie:ODR woj. zachodniopomorskie'!F133)</f>
        <v>1516</v>
      </c>
      <c r="G133" s="195">
        <f>SUM(D133:F133)</f>
        <v>3622</v>
      </c>
      <c r="H133" s="185"/>
      <c r="I133" s="185"/>
      <c r="J133" s="185"/>
      <c r="K133" s="185"/>
      <c r="L133" s="185"/>
      <c r="M133" s="185"/>
      <c r="N133" s="185"/>
    </row>
    <row r="134" spans="1:16">
      <c r="A134" s="2718"/>
      <c r="B134" s="2032"/>
      <c r="C134" s="110">
        <v>2018</v>
      </c>
      <c r="D134" s="37"/>
      <c r="E134" s="38"/>
      <c r="F134" s="38"/>
      <c r="G134" s="195">
        <f t="shared" si="11"/>
        <v>0</v>
      </c>
      <c r="H134" s="185"/>
      <c r="I134" s="185"/>
      <c r="J134" s="185"/>
      <c r="K134" s="185"/>
      <c r="L134" s="185"/>
      <c r="M134" s="185"/>
      <c r="N134" s="185"/>
    </row>
    <row r="135" spans="1:16">
      <c r="A135" s="2718"/>
      <c r="B135" s="2032"/>
      <c r="C135" s="110">
        <v>2019</v>
      </c>
      <c r="D135" s="37"/>
      <c r="E135" s="38"/>
      <c r="F135" s="38"/>
      <c r="G135" s="195">
        <f t="shared" si="11"/>
        <v>0</v>
      </c>
      <c r="H135" s="185"/>
      <c r="I135" s="185"/>
      <c r="J135" s="185"/>
      <c r="K135" s="185"/>
      <c r="L135" s="185"/>
      <c r="M135" s="185"/>
      <c r="N135" s="185"/>
    </row>
    <row r="136" spans="1:16">
      <c r="A136" s="2718"/>
      <c r="B136" s="2032"/>
      <c r="C136" s="110">
        <v>2020</v>
      </c>
      <c r="D136" s="37"/>
      <c r="E136" s="38"/>
      <c r="F136" s="38"/>
      <c r="G136" s="195">
        <f t="shared" si="11"/>
        <v>0</v>
      </c>
      <c r="H136" s="185"/>
      <c r="I136" s="185"/>
      <c r="J136" s="185"/>
      <c r="K136" s="185"/>
      <c r="L136" s="185"/>
      <c r="M136" s="185"/>
      <c r="N136" s="185"/>
    </row>
    <row r="137" spans="1:16" ht="17.25" customHeight="1" thickBot="1">
      <c r="A137" s="2612"/>
      <c r="B137" s="2719"/>
      <c r="C137" s="113" t="s">
        <v>13</v>
      </c>
      <c r="D137" s="139">
        <f>SUM(D131:D136)</f>
        <v>3907</v>
      </c>
      <c r="E137" s="139">
        <f t="shared" ref="E137:F137" si="12">SUM(E131:E136)</f>
        <v>1076</v>
      </c>
      <c r="F137" s="139">
        <f t="shared" si="12"/>
        <v>3258</v>
      </c>
      <c r="G137" s="196">
        <f>SUM(G131:G136)</f>
        <v>8241</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500" t="s">
        <v>91</v>
      </c>
      <c r="B142" s="2479" t="s">
        <v>179</v>
      </c>
      <c r="C142" s="2484" t="s">
        <v>9</v>
      </c>
      <c r="D142" s="1826" t="s">
        <v>92</v>
      </c>
      <c r="E142" s="1827"/>
      <c r="F142" s="1827"/>
      <c r="G142" s="1827"/>
      <c r="H142" s="1827"/>
      <c r="I142" s="1828"/>
      <c r="J142" s="2475" t="s">
        <v>93</v>
      </c>
      <c r="K142" s="2476"/>
      <c r="L142" s="2476"/>
      <c r="M142" s="2476"/>
      <c r="N142" s="2477"/>
      <c r="O142" s="165"/>
      <c r="P142" s="165"/>
    </row>
    <row r="143" spans="1:16" ht="113.25" customHeight="1">
      <c r="A143" s="2739"/>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2737"/>
      <c r="B144" s="1899"/>
      <c r="C144" s="106">
        <v>2014</v>
      </c>
      <c r="D144" s="30"/>
      <c r="E144" s="30"/>
      <c r="F144" s="31"/>
      <c r="G144" s="175"/>
      <c r="H144" s="175"/>
      <c r="I144" s="213">
        <f>D144+F144+G144+H144</f>
        <v>0</v>
      </c>
      <c r="J144" s="214"/>
      <c r="K144" s="215"/>
      <c r="L144" s="214"/>
      <c r="M144" s="215"/>
      <c r="N144" s="216"/>
      <c r="O144" s="165"/>
      <c r="P144" s="165"/>
    </row>
    <row r="145" spans="1:16" ht="19.5" customHeight="1">
      <c r="A145" s="2736"/>
      <c r="B145" s="1899"/>
      <c r="C145" s="110">
        <v>2015</v>
      </c>
      <c r="D145" s="37">
        <f>SUM('dolnośląskie:ODR woj. zachodniopomorskie'!D145)</f>
        <v>4</v>
      </c>
      <c r="E145" s="37">
        <f>SUM('dolnośląskie:ODR woj. zachodniopomorskie'!E145)</f>
        <v>2</v>
      </c>
      <c r="F145" s="37">
        <f>SUM('dolnośląskie:ODR woj. zachodniopomorskie'!F145)</f>
        <v>4</v>
      </c>
      <c r="G145" s="37">
        <f>SUM('dolnośląskie:ODR woj. zachodniopomorskie'!G145)</f>
        <v>3</v>
      </c>
      <c r="H145" s="37">
        <f>SUM('dolnośląskie:ODR woj. zachodniopomorskie'!H145)</f>
        <v>2</v>
      </c>
      <c r="I145" s="213">
        <f t="shared" ref="I145:I150" si="13">D145+F145+G145+H145</f>
        <v>13</v>
      </c>
      <c r="J145" s="37">
        <f>SUM('dolnośląskie:ODR woj. zachodniopomorskie'!J145)</f>
        <v>5</v>
      </c>
      <c r="K145" s="218">
        <f>SUM('dolnośląskie:ODR woj. zachodniopomorskie'!K145)</f>
        <v>1</v>
      </c>
      <c r="L145" s="37">
        <f>SUM('dolnośląskie:ODR woj. zachodniopomorskie'!L145)</f>
        <v>0</v>
      </c>
      <c r="M145" s="218">
        <f>SUM('dolnośląskie:ODR woj. zachodniopomorskie'!M145)</f>
        <v>0</v>
      </c>
      <c r="N145" s="219">
        <f>SUM('dolnośląskie:ODR woj. zachodniopomorskie'!N145)</f>
        <v>0</v>
      </c>
      <c r="O145" s="165"/>
      <c r="P145" s="165"/>
    </row>
    <row r="146" spans="1:16" ht="20.25" customHeight="1">
      <c r="A146" s="2736"/>
      <c r="B146" s="1899"/>
      <c r="C146" s="110">
        <v>2016</v>
      </c>
      <c r="D146" s="37">
        <f>SUM('dolnośląskie:ODR woj. zachodniopomorskie'!D146)</f>
        <v>8</v>
      </c>
      <c r="E146" s="37">
        <f>SUM('dolnośląskie:ODR woj. zachodniopomorskie'!E146)</f>
        <v>14</v>
      </c>
      <c r="F146" s="37">
        <f>SUM('dolnośląskie:ODR woj. zachodniopomorskie'!F146)</f>
        <v>8</v>
      </c>
      <c r="G146" s="37">
        <f>SUM('dolnośląskie:ODR woj. zachodniopomorskie'!G146)</f>
        <v>20</v>
      </c>
      <c r="H146" s="37">
        <f>SUM('dolnośląskie:ODR woj. zachodniopomorskie'!H146)</f>
        <v>4</v>
      </c>
      <c r="I146" s="213">
        <f>D146+F146+G146+H146</f>
        <v>40</v>
      </c>
      <c r="J146" s="37">
        <f>SUM('dolnośląskie:ODR woj. zachodniopomorskie'!J146)</f>
        <v>32</v>
      </c>
      <c r="K146" s="218">
        <f>SUM('dolnośląskie:ODR woj. zachodniopomorskie'!K146)</f>
        <v>5</v>
      </c>
      <c r="L146" s="37">
        <f>SUM('dolnośląskie:ODR woj. zachodniopomorskie'!L146)</f>
        <v>1</v>
      </c>
      <c r="M146" s="218">
        <f>SUM('dolnośląskie:ODR woj. zachodniopomorskie'!M146)</f>
        <v>0</v>
      </c>
      <c r="N146" s="219">
        <f>SUM('dolnośląskie:ODR woj. zachodniopomorskie'!N146)</f>
        <v>4</v>
      </c>
      <c r="O146" s="165"/>
      <c r="P146" s="165"/>
    </row>
    <row r="147" spans="1:16" ht="17.25" customHeight="1">
      <c r="A147" s="2736"/>
      <c r="B147" s="1899"/>
      <c r="C147" s="110">
        <v>2017</v>
      </c>
      <c r="D147" s="37">
        <f>SUM('dolnośląskie:ODR woj. zachodniopomorskie'!D147)</f>
        <v>7</v>
      </c>
      <c r="E147" s="37">
        <f>SUM('dolnośląskie:ODR woj. zachodniopomorskie'!E147)</f>
        <v>11</v>
      </c>
      <c r="F147" s="37">
        <f>SUM('dolnośląskie:ODR woj. zachodniopomorskie'!F147)</f>
        <v>3</v>
      </c>
      <c r="G147" s="37">
        <f>SUM('dolnośląskie:ODR woj. zachodniopomorskie'!G147)</f>
        <v>5</v>
      </c>
      <c r="H147" s="37">
        <f>SUM('dolnośląskie:ODR woj. zachodniopomorskie'!H147)</f>
        <v>1</v>
      </c>
      <c r="I147" s="213">
        <f>D147+F147+G147+H147</f>
        <v>16</v>
      </c>
      <c r="J147" s="37">
        <f>SUM('dolnośląskie:ODR woj. zachodniopomorskie'!J147)</f>
        <v>11</v>
      </c>
      <c r="K147" s="218">
        <f>SUM('dolnośląskie:ODR woj. zachodniopomorskie'!K147)</f>
        <v>3</v>
      </c>
      <c r="L147" s="37">
        <f>SUM('dolnośląskie:ODR woj. zachodniopomorskie'!L147)</f>
        <v>1</v>
      </c>
      <c r="M147" s="218">
        <f>SUM('dolnośląskie:ODR woj. zachodniopomorskie'!M147)</f>
        <v>1</v>
      </c>
      <c r="N147" s="219">
        <f>SUM('dolnośląskie:ODR woj. zachodniopomorskie'!N147)</f>
        <v>3</v>
      </c>
      <c r="O147" s="165"/>
      <c r="P147" s="165"/>
    </row>
    <row r="148" spans="1:16" ht="19.5" customHeight="1">
      <c r="A148" s="2736"/>
      <c r="B148" s="1899"/>
      <c r="C148" s="110">
        <v>2018</v>
      </c>
      <c r="D148" s="37"/>
      <c r="E148" s="37"/>
      <c r="F148" s="38"/>
      <c r="G148" s="178"/>
      <c r="H148" s="178"/>
      <c r="I148" s="213">
        <f t="shared" si="13"/>
        <v>0</v>
      </c>
      <c r="J148" s="217"/>
      <c r="K148" s="218"/>
      <c r="L148" s="217"/>
      <c r="M148" s="218"/>
      <c r="N148" s="219"/>
      <c r="O148" s="165"/>
      <c r="P148" s="165"/>
    </row>
    <row r="149" spans="1:16" ht="19.5" customHeight="1">
      <c r="A149" s="2736"/>
      <c r="B149" s="1899"/>
      <c r="C149" s="110">
        <v>2019</v>
      </c>
      <c r="D149" s="37"/>
      <c r="E149" s="37"/>
      <c r="F149" s="38"/>
      <c r="G149" s="178"/>
      <c r="H149" s="178"/>
      <c r="I149" s="213">
        <f t="shared" si="13"/>
        <v>0</v>
      </c>
      <c r="J149" s="217"/>
      <c r="K149" s="218"/>
      <c r="L149" s="217"/>
      <c r="M149" s="218"/>
      <c r="N149" s="219"/>
      <c r="O149" s="165"/>
      <c r="P149" s="165"/>
    </row>
    <row r="150" spans="1:16" ht="18.75" customHeight="1">
      <c r="A150" s="2736"/>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2727"/>
      <c r="C151" s="113" t="s">
        <v>13</v>
      </c>
      <c r="D151" s="139">
        <f>SUM(D144:D150)</f>
        <v>19</v>
      </c>
      <c r="E151" s="139">
        <f t="shared" ref="E151:I151" si="14">SUM(E144:E150)</f>
        <v>27</v>
      </c>
      <c r="F151" s="139">
        <f t="shared" si="14"/>
        <v>15</v>
      </c>
      <c r="G151" s="139">
        <f t="shared" si="14"/>
        <v>28</v>
      </c>
      <c r="H151" s="139">
        <f t="shared" si="14"/>
        <v>7</v>
      </c>
      <c r="I151" s="220">
        <f t="shared" si="14"/>
        <v>69</v>
      </c>
      <c r="J151" s="221">
        <f>SUM(J144:J150)</f>
        <v>48</v>
      </c>
      <c r="K151" s="222">
        <f>SUM(K144:K150)</f>
        <v>9</v>
      </c>
      <c r="L151" s="221">
        <f>SUM(L144:L150)</f>
        <v>2</v>
      </c>
      <c r="M151" s="222">
        <f>SUM(M144:M150)</f>
        <v>1</v>
      </c>
      <c r="N151" s="223">
        <f>SUM(N144:N150)</f>
        <v>7</v>
      </c>
      <c r="O151" s="165"/>
      <c r="P151" s="165"/>
    </row>
    <row r="152" spans="1:16" ht="27" customHeight="1" thickBot="1">
      <c r="B152" s="224"/>
      <c r="O152" s="165"/>
      <c r="P152" s="165"/>
    </row>
    <row r="153" spans="1:16" ht="35.25" customHeight="1">
      <c r="A153" s="2501" t="s">
        <v>105</v>
      </c>
      <c r="B153" s="2479" t="s">
        <v>179</v>
      </c>
      <c r="C153" s="2480" t="s">
        <v>9</v>
      </c>
      <c r="D153" s="1829" t="s">
        <v>106</v>
      </c>
      <c r="E153" s="1829"/>
      <c r="F153" s="1830"/>
      <c r="G153" s="1830"/>
      <c r="H153" s="1829" t="s">
        <v>107</v>
      </c>
      <c r="I153" s="1829"/>
      <c r="J153" s="1831"/>
      <c r="K153" s="56"/>
      <c r="L153" s="56"/>
      <c r="M153" s="56"/>
      <c r="N153" s="56"/>
      <c r="O153" s="165"/>
      <c r="P153" s="165"/>
    </row>
    <row r="154" spans="1:16" ht="49.5" customHeight="1">
      <c r="A154" s="2740"/>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2737"/>
      <c r="B155" s="1899"/>
      <c r="C155" s="233">
        <v>2014</v>
      </c>
      <c r="D155" s="214"/>
      <c r="E155" s="175"/>
      <c r="F155" s="215"/>
      <c r="G155" s="213">
        <f>SUM(D155:F155)</f>
        <v>0</v>
      </c>
      <c r="H155" s="214"/>
      <c r="I155" s="175"/>
      <c r="J155" s="176"/>
      <c r="O155" s="165"/>
      <c r="P155" s="165"/>
    </row>
    <row r="156" spans="1:16" ht="19.5" customHeight="1">
      <c r="A156" s="2736"/>
      <c r="B156" s="1899"/>
      <c r="C156" s="234">
        <v>2015</v>
      </c>
      <c r="D156" s="37">
        <f>SUM('dolnośląskie:ODR woj. zachodniopomorskie'!D156)</f>
        <v>0</v>
      </c>
      <c r="E156" s="37">
        <f>SUM('dolnośląskie:ODR woj. zachodniopomorskie'!E156)</f>
        <v>0</v>
      </c>
      <c r="F156" s="218">
        <f>SUM('dolnośląskie:ODR woj. zachodniopomorskie'!F156)</f>
        <v>0</v>
      </c>
      <c r="G156" s="213">
        <f t="shared" ref="G156:G161" si="15">SUM(D156:F156)</f>
        <v>0</v>
      </c>
      <c r="H156" s="37">
        <f>SUM('dolnośląskie:ODR woj. zachodniopomorskie'!H156)</f>
        <v>0</v>
      </c>
      <c r="I156" s="37">
        <f>SUM('dolnośląskie:ODR woj. zachodniopomorskie'!I156)</f>
        <v>0</v>
      </c>
      <c r="J156" s="179">
        <f>SUM('dolnośląskie:ODR woj. zachodniopomorskie'!J156)</f>
        <v>0</v>
      </c>
      <c r="O156" s="165"/>
      <c r="P156" s="165"/>
    </row>
    <row r="157" spans="1:16" ht="17.25" customHeight="1">
      <c r="A157" s="2736"/>
      <c r="B157" s="1899"/>
      <c r="C157" s="234">
        <v>2016</v>
      </c>
      <c r="D157" s="37">
        <f>SUM('dolnośląskie:ODR woj. zachodniopomorskie'!D157)</f>
        <v>3</v>
      </c>
      <c r="E157" s="37">
        <f>SUM('dolnośląskie:ODR woj. zachodniopomorskie'!E157)</f>
        <v>0</v>
      </c>
      <c r="F157" s="218">
        <f>SUM('dolnośląskie:ODR woj. zachodniopomorskie'!F157)</f>
        <v>0</v>
      </c>
      <c r="G157" s="213">
        <f>SUM(D157:F157)</f>
        <v>3</v>
      </c>
      <c r="H157" s="37">
        <f>SUM('dolnośląskie:ODR woj. zachodniopomorskie'!H157)</f>
        <v>2</v>
      </c>
      <c r="I157" s="37">
        <f>SUM('dolnośląskie:ODR woj. zachodniopomorskie'!I157)</f>
        <v>0</v>
      </c>
      <c r="J157" s="179">
        <f>SUM('dolnośląskie:ODR woj. zachodniopomorskie'!J157)</f>
        <v>1</v>
      </c>
      <c r="O157" s="165"/>
      <c r="P157" s="165"/>
    </row>
    <row r="158" spans="1:16" ht="15" customHeight="1">
      <c r="A158" s="2736"/>
      <c r="B158" s="1899"/>
      <c r="C158" s="234">
        <v>2017</v>
      </c>
      <c r="D158" s="37">
        <f>SUM('dolnośląskie:ODR woj. zachodniopomorskie'!D158)</f>
        <v>1</v>
      </c>
      <c r="E158" s="37">
        <f>SUM('dolnośląskie:ODR woj. zachodniopomorskie'!E158)</f>
        <v>10</v>
      </c>
      <c r="F158" s="218">
        <f>SUM('dolnośląskie:ODR woj. zachodniopomorskie'!F158)</f>
        <v>6</v>
      </c>
      <c r="G158" s="213">
        <f>SUM(D158:F158)</f>
        <v>17</v>
      </c>
      <c r="H158" s="37">
        <f>SUM('dolnośląskie:ODR woj. zachodniopomorskie'!H158)</f>
        <v>16</v>
      </c>
      <c r="I158" s="37">
        <f>SUM('dolnośląskie:ODR woj. zachodniopomorskie'!I158)</f>
        <v>1</v>
      </c>
      <c r="J158" s="179">
        <f>SUM('dolnośląskie:ODR woj. zachodniopomorskie'!J158)</f>
        <v>0</v>
      </c>
      <c r="O158" s="165"/>
      <c r="P158" s="165"/>
    </row>
    <row r="159" spans="1:16" ht="19.5" customHeight="1">
      <c r="A159" s="2736"/>
      <c r="B159" s="1899"/>
      <c r="C159" s="234">
        <v>2018</v>
      </c>
      <c r="D159" s="217"/>
      <c r="E159" s="178"/>
      <c r="F159" s="218"/>
      <c r="G159" s="213">
        <f t="shared" si="15"/>
        <v>0</v>
      </c>
      <c r="H159" s="217"/>
      <c r="I159" s="178"/>
      <c r="J159" s="179"/>
      <c r="O159" s="165"/>
      <c r="P159" s="165"/>
    </row>
    <row r="160" spans="1:16" ht="15" customHeight="1">
      <c r="A160" s="2736"/>
      <c r="B160" s="1899"/>
      <c r="C160" s="234">
        <v>2019</v>
      </c>
      <c r="D160" s="217"/>
      <c r="E160" s="178"/>
      <c r="F160" s="218"/>
      <c r="G160" s="213">
        <f t="shared" si="15"/>
        <v>0</v>
      </c>
      <c r="H160" s="217"/>
      <c r="I160" s="178"/>
      <c r="J160" s="179"/>
      <c r="O160" s="165"/>
      <c r="P160" s="165"/>
    </row>
    <row r="161" spans="1:18" ht="17.25" customHeight="1">
      <c r="A161" s="2736"/>
      <c r="B161" s="1899"/>
      <c r="C161" s="234">
        <v>2020</v>
      </c>
      <c r="D161" s="217"/>
      <c r="E161" s="178"/>
      <c r="F161" s="218"/>
      <c r="G161" s="213">
        <f t="shared" si="15"/>
        <v>0</v>
      </c>
      <c r="H161" s="217"/>
      <c r="I161" s="178"/>
      <c r="J161" s="179"/>
      <c r="O161" s="165"/>
      <c r="P161" s="165"/>
    </row>
    <row r="162" spans="1:18" ht="15.75" thickBot="1">
      <c r="A162" s="1893"/>
      <c r="B162" s="2727"/>
      <c r="C162" s="235" t="s">
        <v>13</v>
      </c>
      <c r="D162" s="221">
        <f t="shared" ref="D162:F162" si="16">SUM(D155:D161)</f>
        <v>4</v>
      </c>
      <c r="E162" s="181">
        <f t="shared" si="16"/>
        <v>10</v>
      </c>
      <c r="F162" s="222">
        <f t="shared" si="16"/>
        <v>6</v>
      </c>
      <c r="G162" s="222">
        <f>SUM(G155:G161)</f>
        <v>20</v>
      </c>
      <c r="H162" s="221">
        <f>SUM(H155:H161)</f>
        <v>18</v>
      </c>
      <c r="I162" s="181">
        <f>SUM(I155:I161)</f>
        <v>1</v>
      </c>
      <c r="J162" s="236">
        <f>SUM(J155:J161)</f>
        <v>1</v>
      </c>
    </row>
    <row r="163" spans="1:18" ht="24.75" customHeight="1" thickBot="1">
      <c r="A163" s="237"/>
      <c r="B163" s="238"/>
      <c r="C163" s="239"/>
      <c r="D163" s="165"/>
      <c r="E163" s="1832"/>
      <c r="F163" s="165"/>
      <c r="G163" s="165"/>
      <c r="H163" s="165"/>
      <c r="I163" s="165"/>
      <c r="J163" s="241"/>
      <c r="K163" s="1848"/>
    </row>
    <row r="164" spans="1:18" ht="95.25" customHeight="1">
      <c r="A164" s="1760" t="s">
        <v>115</v>
      </c>
      <c r="B164" s="405" t="s">
        <v>181</v>
      </c>
      <c r="C164" s="1567" t="s">
        <v>9</v>
      </c>
      <c r="D164" s="246" t="s">
        <v>117</v>
      </c>
      <c r="E164" s="246" t="s">
        <v>118</v>
      </c>
      <c r="F164" s="1833" t="s">
        <v>119</v>
      </c>
      <c r="G164" s="246" t="s">
        <v>120</v>
      </c>
      <c r="H164" s="246" t="s">
        <v>121</v>
      </c>
      <c r="I164" s="248" t="s">
        <v>122</v>
      </c>
      <c r="J164" s="1761" t="s">
        <v>123</v>
      </c>
      <c r="K164" s="1761" t="s">
        <v>124</v>
      </c>
      <c r="L164" s="1849"/>
    </row>
    <row r="165" spans="1:18" ht="15.75" customHeight="1">
      <c r="A165" s="2510"/>
      <c r="B165" s="2636"/>
      <c r="C165" s="251">
        <v>2014</v>
      </c>
      <c r="D165" s="175"/>
      <c r="E165" s="175"/>
      <c r="F165" s="175"/>
      <c r="G165" s="175"/>
      <c r="H165" s="175"/>
      <c r="I165" s="176"/>
      <c r="J165" s="1850">
        <f>SUM(D165,F165,H165)</f>
        <v>0</v>
      </c>
      <c r="K165" s="253">
        <f>SUM(E165,G165,I165)</f>
        <v>0</v>
      </c>
      <c r="L165" s="1849"/>
    </row>
    <row r="166" spans="1:18">
      <c r="A166" s="2512"/>
      <c r="B166" s="2032"/>
      <c r="C166" s="254">
        <v>2015</v>
      </c>
      <c r="D166" s="37">
        <f>SUM('dolnośląskie:ODR woj. zachodniopomorskie'!D166)</f>
        <v>0</v>
      </c>
      <c r="E166" s="37">
        <f>SUM('dolnośląskie:ODR woj. zachodniopomorskie'!E166)</f>
        <v>0</v>
      </c>
      <c r="F166" s="37">
        <f>SUM('dolnośląskie:ODR woj. zachodniopomorskie'!F166)</f>
        <v>0</v>
      </c>
      <c r="G166" s="37">
        <f>SUM('dolnośląskie:ODR woj. zachodniopomorskie'!G166)</f>
        <v>0</v>
      </c>
      <c r="H166" s="37">
        <f>SUM('dolnośląskie:ODR woj. zachodniopomorskie'!H166)</f>
        <v>0</v>
      </c>
      <c r="I166" s="37">
        <f>SUM('dolnośląskie:ODR woj. zachodniopomorskie'!I166)</f>
        <v>0</v>
      </c>
      <c r="J166" s="1851">
        <f t="shared" ref="J166:K171" si="17">SUM(D166,F166,H166)</f>
        <v>0</v>
      </c>
      <c r="K166" s="408">
        <f t="shared" si="17"/>
        <v>0</v>
      </c>
      <c r="L166" s="1849"/>
    </row>
    <row r="167" spans="1:18">
      <c r="A167" s="2512"/>
      <c r="B167" s="2032"/>
      <c r="C167" s="254">
        <v>2016</v>
      </c>
      <c r="D167" s="37">
        <f>SUM('dolnośląskie:ODR woj. zachodniopomorskie'!D167)</f>
        <v>13</v>
      </c>
      <c r="E167" s="37">
        <f>SUM('dolnośląskie:ODR woj. zachodniopomorskie'!E167)</f>
        <v>15</v>
      </c>
      <c r="F167" s="37">
        <f>SUM('dolnośląskie:ODR woj. zachodniopomorskie'!F167)</f>
        <v>1</v>
      </c>
      <c r="G167" s="37">
        <f>SUM('dolnośląskie:ODR woj. zachodniopomorskie'!G167)</f>
        <v>3</v>
      </c>
      <c r="H167" s="37">
        <f>SUM('dolnośląskie:ODR woj. zachodniopomorskie'!H167)</f>
        <v>154</v>
      </c>
      <c r="I167" s="37">
        <f>SUM('dolnośląskie:ODR woj. zachodniopomorskie'!I167)</f>
        <v>153</v>
      </c>
      <c r="J167" s="1851">
        <f>SUM(D167,F167,H167)</f>
        <v>168</v>
      </c>
      <c r="K167" s="408">
        <f>SUM(E167,G167,I167)</f>
        <v>171</v>
      </c>
    </row>
    <row r="168" spans="1:18">
      <c r="A168" s="2512"/>
      <c r="B168" s="2032"/>
      <c r="C168" s="254">
        <v>2017</v>
      </c>
      <c r="D168" s="37">
        <f>SUM('dolnośląskie:ODR woj. zachodniopomorskie'!D168)</f>
        <v>9</v>
      </c>
      <c r="E168" s="37">
        <f>SUM('dolnośląskie:ODR woj. zachodniopomorskie'!E168)</f>
        <v>27</v>
      </c>
      <c r="F168" s="37">
        <f>SUM('dolnośląskie:ODR woj. zachodniopomorskie'!F168)</f>
        <v>0</v>
      </c>
      <c r="G168" s="37">
        <f>SUM('dolnośląskie:ODR woj. zachodniopomorskie'!G168)</f>
        <v>2</v>
      </c>
      <c r="H168" s="37">
        <f>SUM('dolnośląskie:ODR woj. zachodniopomorskie'!H168)</f>
        <v>25</v>
      </c>
      <c r="I168" s="37">
        <f>SUM('dolnośląskie:ODR woj. zachodniopomorskie'!I168)</f>
        <v>5</v>
      </c>
      <c r="J168" s="1851">
        <f>SUM(D168,F168,H168)</f>
        <v>34</v>
      </c>
      <c r="K168" s="408">
        <f>SUM(E168,G168,I168)</f>
        <v>34</v>
      </c>
    </row>
    <row r="169" spans="1:18">
      <c r="A169" s="2512"/>
      <c r="B169" s="2032"/>
      <c r="C169" s="262">
        <v>2018</v>
      </c>
      <c r="D169" s="255"/>
      <c r="E169" s="255"/>
      <c r="F169" s="255"/>
      <c r="G169" s="263"/>
      <c r="H169" s="255"/>
      <c r="I169" s="256"/>
      <c r="J169" s="1851">
        <f t="shared" si="17"/>
        <v>0</v>
      </c>
      <c r="K169" s="408">
        <f t="shared" si="17"/>
        <v>0</v>
      </c>
      <c r="L169" s="1849"/>
    </row>
    <row r="170" spans="1:18">
      <c r="A170" s="2512"/>
      <c r="B170" s="2032"/>
      <c r="C170" s="254">
        <v>2019</v>
      </c>
      <c r="D170" s="165"/>
      <c r="E170" s="255"/>
      <c r="F170" s="255"/>
      <c r="G170" s="255"/>
      <c r="H170" s="263"/>
      <c r="I170" s="256"/>
      <c r="J170" s="1851">
        <f t="shared" si="17"/>
        <v>0</v>
      </c>
      <c r="K170" s="408">
        <f t="shared" si="17"/>
        <v>0</v>
      </c>
      <c r="L170" s="1849"/>
    </row>
    <row r="171" spans="1:18">
      <c r="A171" s="2512"/>
      <c r="B171" s="2032"/>
      <c r="C171" s="262">
        <v>2020</v>
      </c>
      <c r="D171" s="255"/>
      <c r="E171" s="255"/>
      <c r="F171" s="255"/>
      <c r="G171" s="255"/>
      <c r="H171" s="255"/>
      <c r="I171" s="256"/>
      <c r="J171" s="1851">
        <f t="shared" si="17"/>
        <v>0</v>
      </c>
      <c r="K171" s="408">
        <f t="shared" si="17"/>
        <v>0</v>
      </c>
      <c r="L171" s="1849"/>
    </row>
    <row r="172" spans="1:18" ht="41.25" customHeight="1" thickBot="1">
      <c r="A172" s="2514"/>
      <c r="B172" s="2719"/>
      <c r="C172" s="265" t="s">
        <v>13</v>
      </c>
      <c r="D172" s="181">
        <f>SUM(D165:D171)</f>
        <v>22</v>
      </c>
      <c r="E172" s="181">
        <f t="shared" ref="E172:K172" si="18">SUM(E165:E171)</f>
        <v>42</v>
      </c>
      <c r="F172" s="181">
        <f t="shared" si="18"/>
        <v>1</v>
      </c>
      <c r="G172" s="181">
        <f t="shared" si="18"/>
        <v>5</v>
      </c>
      <c r="H172" s="181">
        <f t="shared" si="18"/>
        <v>179</v>
      </c>
      <c r="I172" s="409">
        <f t="shared" si="18"/>
        <v>158</v>
      </c>
      <c r="J172" s="410">
        <f>SUM(J165:J171)</f>
        <v>202</v>
      </c>
      <c r="K172" s="221">
        <f t="shared" si="18"/>
        <v>205</v>
      </c>
      <c r="L172" s="1849"/>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503" t="s">
        <v>127</v>
      </c>
      <c r="B176" s="2466" t="s">
        <v>182</v>
      </c>
      <c r="C176" s="2470" t="s">
        <v>9</v>
      </c>
      <c r="D176" s="1762" t="s">
        <v>128</v>
      </c>
      <c r="E176" s="1834"/>
      <c r="F176" s="1834"/>
      <c r="G176" s="1835"/>
      <c r="H176" s="1763"/>
      <c r="I176" s="2392" t="s">
        <v>129</v>
      </c>
      <c r="J176" s="2464"/>
      <c r="K176" s="2464"/>
      <c r="L176" s="2464"/>
      <c r="M176" s="2464"/>
      <c r="N176" s="2464"/>
      <c r="O176" s="2465"/>
    </row>
    <row r="177" spans="1:15" s="56" customFormat="1" ht="129.75" customHeight="1">
      <c r="A177" s="2742"/>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725"/>
      <c r="B178" s="2697"/>
      <c r="C178" s="106">
        <v>2014</v>
      </c>
      <c r="D178" s="30"/>
      <c r="E178" s="31"/>
      <c r="F178" s="31"/>
      <c r="G178" s="284">
        <f>SUM(D178:F178)</f>
        <v>0</v>
      </c>
      <c r="H178" s="155"/>
      <c r="I178" s="155"/>
      <c r="J178" s="31"/>
      <c r="K178" s="31"/>
      <c r="L178" s="31"/>
      <c r="M178" s="31"/>
      <c r="N178" s="31"/>
      <c r="O178" s="34"/>
    </row>
    <row r="179" spans="1:15">
      <c r="A179" s="2726"/>
      <c r="B179" s="2697"/>
      <c r="C179" s="110">
        <v>2015</v>
      </c>
      <c r="D179" s="37">
        <f>SUM('dolnośląskie:ODR woj. zachodniopomorskie'!D179)</f>
        <v>94</v>
      </c>
      <c r="E179" s="37">
        <f>SUM('dolnośląskie:ODR woj. zachodniopomorskie'!E179)</f>
        <v>22</v>
      </c>
      <c r="F179" s="37">
        <f>SUM('dolnośląskie:ODR woj. zachodniopomorskie'!F179)</f>
        <v>6</v>
      </c>
      <c r="G179" s="284">
        <f t="shared" ref="G179:G184" si="19">SUM(D179:F179)</f>
        <v>122</v>
      </c>
      <c r="H179" s="37">
        <f>SUM('dolnośląskie:ODR woj. zachodniopomorskie'!H179)</f>
        <v>143</v>
      </c>
      <c r="I179" s="112">
        <f>SUM('dolnośląskie:ODR woj. zachodniopomorskie'!I179)</f>
        <v>43</v>
      </c>
      <c r="J179" s="37">
        <f>SUM('dolnośląskie:ODR woj. zachodniopomorskie'!J179)</f>
        <v>14</v>
      </c>
      <c r="K179" s="37">
        <f>SUM('dolnośląskie:ODR woj. zachodniopomorskie'!K179)</f>
        <v>1</v>
      </c>
      <c r="L179" s="37">
        <f>SUM('dolnośląskie:ODR woj. zachodniopomorskie'!L179)</f>
        <v>21</v>
      </c>
      <c r="M179" s="37">
        <f>SUM('dolnośląskie:ODR woj. zachodniopomorskie'!M179)</f>
        <v>17</v>
      </c>
      <c r="N179" s="37">
        <f>SUM('dolnośląskie:ODR woj. zachodniopomorskie'!N179)</f>
        <v>0</v>
      </c>
      <c r="O179" s="88">
        <f>SUM('dolnośląskie:ODR woj. zachodniopomorskie'!O179)</f>
        <v>26</v>
      </c>
    </row>
    <row r="180" spans="1:15">
      <c r="A180" s="2726"/>
      <c r="B180" s="2697"/>
      <c r="C180" s="110">
        <v>2016</v>
      </c>
      <c r="D180" s="37">
        <f>SUM('dolnośląskie:ODR woj. zachodniopomorskie'!D180)</f>
        <v>1248</v>
      </c>
      <c r="E180" s="37">
        <f>SUM('dolnośląskie:ODR woj. zachodniopomorskie'!E180)</f>
        <v>60</v>
      </c>
      <c r="F180" s="37">
        <f>SUM('dolnośląskie:ODR woj. zachodniopomorskie'!F180)</f>
        <v>92</v>
      </c>
      <c r="G180" s="284">
        <f>SUM(D180:F180)</f>
        <v>1400</v>
      </c>
      <c r="H180" s="37">
        <f>SUM('dolnośląskie:ODR woj. zachodniopomorskie'!H180)</f>
        <v>1706</v>
      </c>
      <c r="I180" s="112">
        <f>SUM('dolnośląskie:ODR woj. zachodniopomorskie'!I180)</f>
        <v>270</v>
      </c>
      <c r="J180" s="37">
        <f>SUM('dolnośląskie:ODR woj. zachodniopomorskie'!J180)</f>
        <v>116</v>
      </c>
      <c r="K180" s="37">
        <f>SUM('dolnośląskie:ODR woj. zachodniopomorskie'!K180)</f>
        <v>38</v>
      </c>
      <c r="L180" s="37">
        <f>SUM('dolnośląskie:ODR woj. zachodniopomorskie'!L180)</f>
        <v>179</v>
      </c>
      <c r="M180" s="37">
        <f>SUM('dolnośląskie:ODR woj. zachodniopomorskie'!M180)</f>
        <v>67</v>
      </c>
      <c r="N180" s="37">
        <f>SUM('dolnośląskie:ODR woj. zachodniopomorskie'!N180)</f>
        <v>0</v>
      </c>
      <c r="O180" s="88">
        <f>SUM('dolnośląskie:ODR woj. zachodniopomorskie'!O180)</f>
        <v>730</v>
      </c>
    </row>
    <row r="181" spans="1:15">
      <c r="A181" s="2726"/>
      <c r="B181" s="2697"/>
      <c r="C181" s="110">
        <v>2017</v>
      </c>
      <c r="D181" s="37">
        <f>SUM('dolnośląskie:ODR woj. zachodniopomorskie'!D181)</f>
        <v>931</v>
      </c>
      <c r="E181" s="37">
        <f>SUM('dolnośląskie:ODR woj. zachodniopomorskie'!E181)</f>
        <v>85</v>
      </c>
      <c r="F181" s="37">
        <f>SUM('dolnośląskie:ODR woj. zachodniopomorskie'!F181)</f>
        <v>168</v>
      </c>
      <c r="G181" s="284">
        <f>SUM(D181:F181)</f>
        <v>1184</v>
      </c>
      <c r="H181" s="37">
        <f>SUM('dolnośląskie:ODR woj. zachodniopomorskie'!H181)</f>
        <v>1676</v>
      </c>
      <c r="I181" s="112">
        <f>SUM('dolnośląskie:ODR woj. zachodniopomorskie'!I181)</f>
        <v>531</v>
      </c>
      <c r="J181" s="37">
        <f>SUM('dolnośląskie:ODR woj. zachodniopomorskie'!J181)</f>
        <v>122</v>
      </c>
      <c r="K181" s="37">
        <f>SUM('dolnośląskie:ODR woj. zachodniopomorskie'!K181)</f>
        <v>16</v>
      </c>
      <c r="L181" s="37">
        <f>SUM('dolnośląskie:ODR woj. zachodniopomorskie'!L181)</f>
        <v>129</v>
      </c>
      <c r="M181" s="37">
        <f>SUM('dolnośląskie:ODR woj. zachodniopomorskie'!M181)</f>
        <v>94</v>
      </c>
      <c r="N181" s="37">
        <f>SUM('dolnośląskie:ODR woj. zachodniopomorskie'!N181)</f>
        <v>0</v>
      </c>
      <c r="O181" s="88">
        <f>SUM('dolnośląskie:ODR woj. zachodniopomorskie'!O181)</f>
        <v>292</v>
      </c>
    </row>
    <row r="182" spans="1:15">
      <c r="A182" s="2726"/>
      <c r="B182" s="2697"/>
      <c r="C182" s="110">
        <v>2018</v>
      </c>
      <c r="D182" s="37"/>
      <c r="E182" s="38"/>
      <c r="F182" s="38"/>
      <c r="G182" s="284">
        <f t="shared" si="19"/>
        <v>0</v>
      </c>
      <c r="H182" s="411"/>
      <c r="I182" s="112"/>
      <c r="J182" s="38"/>
      <c r="K182" s="38"/>
      <c r="L182" s="38"/>
      <c r="M182" s="38"/>
      <c r="N182" s="38"/>
      <c r="O182" s="88"/>
    </row>
    <row r="183" spans="1:15">
      <c r="A183" s="2726"/>
      <c r="B183" s="2697"/>
      <c r="C183" s="110">
        <v>2019</v>
      </c>
      <c r="D183" s="37"/>
      <c r="E183" s="38"/>
      <c r="F183" s="38"/>
      <c r="G183" s="284">
        <f t="shared" si="19"/>
        <v>0</v>
      </c>
      <c r="H183" s="411"/>
      <c r="I183" s="112"/>
      <c r="J183" s="38"/>
      <c r="K183" s="38"/>
      <c r="L183" s="38"/>
      <c r="M183" s="38"/>
      <c r="N183" s="38"/>
      <c r="O183" s="88"/>
    </row>
    <row r="184" spans="1:15">
      <c r="A184" s="2726"/>
      <c r="B184" s="2697"/>
      <c r="C184" s="110">
        <v>2020</v>
      </c>
      <c r="D184" s="37"/>
      <c r="E184" s="38"/>
      <c r="F184" s="38"/>
      <c r="G184" s="284">
        <f t="shared" si="19"/>
        <v>0</v>
      </c>
      <c r="H184" s="411"/>
      <c r="I184" s="112"/>
      <c r="J184" s="38"/>
      <c r="K184" s="38"/>
      <c r="L184" s="38"/>
      <c r="M184" s="38"/>
      <c r="N184" s="38"/>
      <c r="O184" s="88"/>
    </row>
    <row r="185" spans="1:15" ht="45" customHeight="1" thickBot="1">
      <c r="A185" s="2595"/>
      <c r="B185" s="2729"/>
      <c r="C185" s="113" t="s">
        <v>13</v>
      </c>
      <c r="D185" s="139">
        <f>SUM(D178:D184)</f>
        <v>2273</v>
      </c>
      <c r="E185" s="116">
        <f>SUM(E178:E184)</f>
        <v>167</v>
      </c>
      <c r="F185" s="116">
        <f>SUM(F178:F184)</f>
        <v>266</v>
      </c>
      <c r="G185" s="220">
        <f t="shared" ref="G185:O185" si="20">SUM(G178:G184)</f>
        <v>2706</v>
      </c>
      <c r="H185" s="285">
        <f t="shared" si="20"/>
        <v>3525</v>
      </c>
      <c r="I185" s="115">
        <f t="shared" si="20"/>
        <v>844</v>
      </c>
      <c r="J185" s="116">
        <f t="shared" si="20"/>
        <v>252</v>
      </c>
      <c r="K185" s="116">
        <f t="shared" si="20"/>
        <v>55</v>
      </c>
      <c r="L185" s="116">
        <f t="shared" si="20"/>
        <v>329</v>
      </c>
      <c r="M185" s="116">
        <f t="shared" si="20"/>
        <v>178</v>
      </c>
      <c r="N185" s="116">
        <f t="shared" si="20"/>
        <v>0</v>
      </c>
      <c r="O185" s="117">
        <f t="shared" si="20"/>
        <v>1048</v>
      </c>
    </row>
    <row r="186" spans="1:15" ht="33" customHeight="1" thickBot="1"/>
    <row r="187" spans="1:15" ht="19.5" customHeight="1">
      <c r="A187" s="2379" t="s">
        <v>137</v>
      </c>
      <c r="B187" s="2466" t="s">
        <v>182</v>
      </c>
      <c r="C187" s="1865" t="s">
        <v>9</v>
      </c>
      <c r="D187" s="1867" t="s">
        <v>138</v>
      </c>
      <c r="E187" s="2467"/>
      <c r="F187" s="2467"/>
      <c r="G187" s="2382"/>
      <c r="H187" s="2383"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693"/>
      <c r="B189" s="2636"/>
      <c r="C189" s="290">
        <v>2014</v>
      </c>
      <c r="D189" s="133"/>
      <c r="E189" s="109"/>
      <c r="F189" s="109"/>
      <c r="G189" s="291">
        <f>SUM(D189:F189)</f>
        <v>0</v>
      </c>
      <c r="H189" s="108"/>
      <c r="I189" s="109"/>
      <c r="J189" s="109"/>
      <c r="K189" s="109"/>
      <c r="L189" s="134"/>
    </row>
    <row r="190" spans="1:15">
      <c r="A190" s="2741"/>
      <c r="B190" s="2032"/>
      <c r="C190" s="73">
        <v>2015</v>
      </c>
      <c r="D190" s="37">
        <f>SUM('dolnośląskie:ODR woj. zachodniopomorskie'!D190)</f>
        <v>5151</v>
      </c>
      <c r="E190" s="37">
        <f>SUM('dolnośląskie:ODR woj. zachodniopomorskie'!E190)</f>
        <v>1034</v>
      </c>
      <c r="F190" s="37">
        <f>SUM('dolnośląskie:ODR woj. zachodniopomorskie'!F190)</f>
        <v>483</v>
      </c>
      <c r="G190" s="291">
        <f t="shared" ref="G190:G195" si="21">SUM(D190:F190)</f>
        <v>6668</v>
      </c>
      <c r="H190" s="37">
        <f>SUM('dolnośląskie:ODR woj. zachodniopomorskie'!H190)</f>
        <v>38</v>
      </c>
      <c r="I190" s="37">
        <f>SUM('dolnośląskie:ODR woj. zachodniopomorskie'!I190)</f>
        <v>679</v>
      </c>
      <c r="J190" s="37">
        <f>SUM('dolnośląskie:ODR woj. zachodniopomorskie'!J190)</f>
        <v>381</v>
      </c>
      <c r="K190" s="37">
        <f>SUM('dolnośląskie:ODR woj. zachodniopomorskie'!K190)</f>
        <v>2125</v>
      </c>
      <c r="L190" s="88">
        <f>SUM('dolnośląskie:ODR woj. zachodniopomorskie'!L190)</f>
        <v>3445</v>
      </c>
    </row>
    <row r="191" spans="1:15">
      <c r="A191" s="2741"/>
      <c r="B191" s="2032"/>
      <c r="C191" s="73">
        <v>2016</v>
      </c>
      <c r="D191" s="37">
        <f>SUM('dolnośląskie:ODR woj. zachodniopomorskie'!D191)</f>
        <v>50102</v>
      </c>
      <c r="E191" s="37">
        <f>SUM('dolnośląskie:ODR woj. zachodniopomorskie'!E191)</f>
        <v>2074</v>
      </c>
      <c r="F191" s="37">
        <f>SUM('dolnośląskie:ODR woj. zachodniopomorskie'!F191)</f>
        <v>2243</v>
      </c>
      <c r="G191" s="291">
        <f>SUM(D191:F191)</f>
        <v>54419</v>
      </c>
      <c r="H191" s="37">
        <f>SUM('dolnośląskie:ODR woj. zachodniopomorskie'!H191)</f>
        <v>121</v>
      </c>
      <c r="I191" s="37">
        <f>SUM('dolnośląskie:ODR woj. zachodniopomorskie'!I191)</f>
        <v>2365</v>
      </c>
      <c r="J191" s="37">
        <f>SUM('dolnośląskie:ODR woj. zachodniopomorskie'!J191)</f>
        <v>10541</v>
      </c>
      <c r="K191" s="37">
        <f>SUM('dolnośląskie:ODR woj. zachodniopomorskie'!K191)</f>
        <v>5320</v>
      </c>
      <c r="L191" s="88">
        <f>SUM('dolnośląskie:ODR woj. zachodniopomorskie'!L191)</f>
        <v>36072</v>
      </c>
    </row>
    <row r="192" spans="1:15">
      <c r="A192" s="2741"/>
      <c r="B192" s="2032"/>
      <c r="C192" s="73">
        <v>2017</v>
      </c>
      <c r="D192" s="37">
        <f>SUM('dolnośląskie:ODR woj. zachodniopomorskie'!D192)</f>
        <v>35210</v>
      </c>
      <c r="E192" s="37">
        <f>SUM('dolnośląskie:ODR woj. zachodniopomorskie'!E192)</f>
        <v>2272</v>
      </c>
      <c r="F192" s="37">
        <f>SUM('dolnośląskie:ODR woj. zachodniopomorskie'!F192)</f>
        <v>3264</v>
      </c>
      <c r="G192" s="291">
        <f>SUM(D192:F192)</f>
        <v>40746</v>
      </c>
      <c r="H192" s="37">
        <f>SUM('dolnośląskie:ODR woj. zachodniopomorskie'!H192)</f>
        <v>104</v>
      </c>
      <c r="I192" s="37">
        <f>SUM('dolnośląskie:ODR woj. zachodniopomorskie'!I192)</f>
        <v>4287</v>
      </c>
      <c r="J192" s="37">
        <f>SUM('dolnośląskie:ODR woj. zachodniopomorskie'!J192)</f>
        <v>9346</v>
      </c>
      <c r="K192" s="37">
        <f>SUM('dolnośląskie:ODR woj. zachodniopomorskie'!K192)</f>
        <v>4407</v>
      </c>
      <c r="L192" s="88">
        <f>SUM('dolnośląskie:ODR woj. zachodniopomorskie'!L192)</f>
        <v>22602</v>
      </c>
    </row>
    <row r="193" spans="1:14">
      <c r="A193" s="2741"/>
      <c r="B193" s="2032"/>
      <c r="C193" s="73">
        <v>2018</v>
      </c>
      <c r="D193" s="37"/>
      <c r="E193" s="38"/>
      <c r="F193" s="38"/>
      <c r="G193" s="291">
        <f t="shared" si="21"/>
        <v>0</v>
      </c>
      <c r="H193" s="112"/>
      <c r="I193" s="38"/>
      <c r="J193" s="38"/>
      <c r="K193" s="38"/>
      <c r="L193" s="88"/>
    </row>
    <row r="194" spans="1:14">
      <c r="A194" s="2741"/>
      <c r="B194" s="2032"/>
      <c r="C194" s="73">
        <v>2019</v>
      </c>
      <c r="D194" s="37"/>
      <c r="E194" s="38"/>
      <c r="F194" s="38"/>
      <c r="G194" s="291">
        <f t="shared" si="21"/>
        <v>0</v>
      </c>
      <c r="H194" s="112"/>
      <c r="I194" s="38"/>
      <c r="J194" s="38"/>
      <c r="K194" s="38"/>
      <c r="L194" s="88"/>
    </row>
    <row r="195" spans="1:14">
      <c r="A195" s="2741"/>
      <c r="B195" s="2032"/>
      <c r="C195" s="73">
        <v>2020</v>
      </c>
      <c r="D195" s="37"/>
      <c r="E195" s="38"/>
      <c r="F195" s="38"/>
      <c r="G195" s="291">
        <f t="shared" si="21"/>
        <v>0</v>
      </c>
      <c r="H195" s="112"/>
      <c r="I195" s="38"/>
      <c r="J195" s="38"/>
      <c r="K195" s="38"/>
      <c r="L195" s="88"/>
    </row>
    <row r="196" spans="1:14" ht="15.75" thickBot="1">
      <c r="A196" s="2695"/>
      <c r="B196" s="2719"/>
      <c r="C196" s="136" t="s">
        <v>13</v>
      </c>
      <c r="D196" s="139">
        <f t="shared" ref="D196:L196" si="22">SUM(D189:D195)</f>
        <v>90463</v>
      </c>
      <c r="E196" s="116">
        <f t="shared" si="22"/>
        <v>5380</v>
      </c>
      <c r="F196" s="116">
        <f t="shared" si="22"/>
        <v>5990</v>
      </c>
      <c r="G196" s="292">
        <f t="shared" si="22"/>
        <v>101833</v>
      </c>
      <c r="H196" s="115">
        <f t="shared" si="22"/>
        <v>263</v>
      </c>
      <c r="I196" s="116">
        <f t="shared" si="22"/>
        <v>7331</v>
      </c>
      <c r="J196" s="116">
        <f t="shared" si="22"/>
        <v>20268</v>
      </c>
      <c r="K196" s="116">
        <f t="shared" si="22"/>
        <v>11852</v>
      </c>
      <c r="L196" s="117">
        <f t="shared" si="22"/>
        <v>62119</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1842" t="s">
        <v>150</v>
      </c>
      <c r="B201" s="417" t="s">
        <v>182</v>
      </c>
      <c r="C201" s="298" t="s">
        <v>9</v>
      </c>
      <c r="D201" s="1764" t="s">
        <v>151</v>
      </c>
      <c r="E201" s="300" t="s">
        <v>152</v>
      </c>
      <c r="F201" s="300" t="s">
        <v>153</v>
      </c>
      <c r="G201" s="298" t="s">
        <v>154</v>
      </c>
      <c r="H201" s="1836" t="s">
        <v>155</v>
      </c>
      <c r="I201" s="1765" t="s">
        <v>156</v>
      </c>
      <c r="J201" s="1766" t="s">
        <v>157</v>
      </c>
      <c r="K201" s="300" t="s">
        <v>158</v>
      </c>
      <c r="L201" s="304" t="s">
        <v>159</v>
      </c>
    </row>
    <row r="202" spans="1:14" ht="15" customHeight="1">
      <c r="A202" s="2718"/>
      <c r="B202" s="2032"/>
      <c r="C202" s="72">
        <v>2014</v>
      </c>
      <c r="D202" s="30"/>
      <c r="E202" s="31"/>
      <c r="F202" s="31"/>
      <c r="G202" s="29"/>
      <c r="H202" s="305"/>
      <c r="I202" s="306"/>
      <c r="J202" s="307"/>
      <c r="K202" s="31"/>
      <c r="L202" s="34"/>
    </row>
    <row r="203" spans="1:14">
      <c r="A203" s="2718"/>
      <c r="B203" s="2032"/>
      <c r="C203" s="73">
        <v>2015</v>
      </c>
      <c r="D203" s="37">
        <f>SUM('dolnośląskie:ODR woj. zachodniopomorskie'!D203)</f>
        <v>0</v>
      </c>
      <c r="E203" s="37">
        <f>SUM('dolnośląskie:ODR woj. zachodniopomorskie'!E203)</f>
        <v>0</v>
      </c>
      <c r="F203" s="37">
        <f>SUM('dolnośląskie:ODR woj. zachodniopomorskie'!F203)</f>
        <v>0</v>
      </c>
      <c r="G203" s="36">
        <f>SUM('dolnośląskie:ODR woj. zachodniopomorskie'!G203)</f>
        <v>0</v>
      </c>
      <c r="H203" s="308">
        <f>SUM('dolnośląskie:ODR woj. zachodniopomorskie'!H203)</f>
        <v>0</v>
      </c>
      <c r="I203" s="309">
        <f>SUM('dolnośląskie:ODR woj. zachodniopomorskie'!I203)</f>
        <v>0</v>
      </c>
      <c r="J203" s="37">
        <f>SUM('dolnośląskie:ODR woj. zachodniopomorskie'!J203)</f>
        <v>1</v>
      </c>
      <c r="K203" s="37">
        <f>SUM('dolnośląskie:ODR woj. zachodniopomorskie'!K203)</f>
        <v>29</v>
      </c>
      <c r="L203" s="88">
        <f>SUM('dolnośląskie:ODR woj. zachodniopomorskie'!L203)</f>
        <v>0</v>
      </c>
    </row>
    <row r="204" spans="1:14">
      <c r="A204" s="2718"/>
      <c r="B204" s="2032"/>
      <c r="C204" s="73">
        <v>2016</v>
      </c>
      <c r="D204" s="37">
        <f>SUM('dolnośląskie:ODR woj. zachodniopomorskie'!D204)</f>
        <v>11</v>
      </c>
      <c r="E204" s="37">
        <f>SUM('dolnośląskie:ODR woj. zachodniopomorskie'!E204)</f>
        <v>160</v>
      </c>
      <c r="F204" s="37">
        <f>SUM('dolnośląskie:ODR woj. zachodniopomorskie'!F204)</f>
        <v>10</v>
      </c>
      <c r="G204" s="36">
        <f>SUM('dolnośląskie:ODR woj. zachodniopomorskie'!G204)</f>
        <v>1</v>
      </c>
      <c r="H204" s="308">
        <f>SUM('dolnośląskie:ODR woj. zachodniopomorskie'!H204)</f>
        <v>26</v>
      </c>
      <c r="I204" s="309">
        <f>SUM('dolnośląskie:ODR woj. zachodniopomorskie'!I204)</f>
        <v>0</v>
      </c>
      <c r="J204" s="37">
        <f>SUM('dolnośląskie:ODR woj. zachodniopomorskie'!J204)</f>
        <v>5</v>
      </c>
      <c r="K204" s="37">
        <f>SUM('dolnośląskie:ODR woj. zachodniopomorskie'!K204)</f>
        <v>115</v>
      </c>
      <c r="L204" s="88">
        <f>SUM('dolnośląskie:ODR woj. zachodniopomorskie'!L204)</f>
        <v>0</v>
      </c>
    </row>
    <row r="205" spans="1:14">
      <c r="A205" s="2718"/>
      <c r="B205" s="2032"/>
      <c r="C205" s="73">
        <v>2017</v>
      </c>
      <c r="D205" s="37">
        <f>SUM('dolnośląskie:ODR woj. zachodniopomorskie'!D205)</f>
        <v>15</v>
      </c>
      <c r="E205" s="37">
        <f>SUM('dolnośląskie:ODR woj. zachodniopomorskie'!E205)</f>
        <v>144</v>
      </c>
      <c r="F205" s="37">
        <f>SUM('dolnośląskie:ODR woj. zachodniopomorskie'!F205)</f>
        <v>24</v>
      </c>
      <c r="G205" s="36">
        <f>SUM('dolnośląskie:ODR woj. zachodniopomorskie'!G205)</f>
        <v>2</v>
      </c>
      <c r="H205" s="308">
        <f>SUM('dolnośląskie:ODR woj. zachodniopomorskie'!H205)</f>
        <v>51</v>
      </c>
      <c r="I205" s="309">
        <f>SUM('dolnośląskie:ODR woj. zachodniopomorskie'!I205)</f>
        <v>1</v>
      </c>
      <c r="J205" s="37">
        <f>SUM('dolnośląskie:ODR woj. zachodniopomorskie'!J205)</f>
        <v>3</v>
      </c>
      <c r="K205" s="37">
        <f>SUM('dolnośląskie:ODR woj. zachodniopomorskie'!K205)</f>
        <v>106</v>
      </c>
      <c r="L205" s="88">
        <f>SUM('dolnośląskie:ODR woj. zachodniopomorskie'!L205)</f>
        <v>0</v>
      </c>
    </row>
    <row r="206" spans="1:14">
      <c r="A206" s="2718"/>
      <c r="B206" s="2032"/>
      <c r="C206" s="73">
        <v>2018</v>
      </c>
      <c r="D206" s="37"/>
      <c r="E206" s="38"/>
      <c r="F206" s="38"/>
      <c r="G206" s="36"/>
      <c r="H206" s="308"/>
      <c r="I206" s="309"/>
      <c r="J206" s="310"/>
      <c r="K206" s="38"/>
      <c r="L206" s="88"/>
    </row>
    <row r="207" spans="1:14">
      <c r="A207" s="2718"/>
      <c r="B207" s="2032"/>
      <c r="C207" s="73">
        <v>2019</v>
      </c>
      <c r="D207" s="37"/>
      <c r="E207" s="38"/>
      <c r="F207" s="38"/>
      <c r="G207" s="36"/>
      <c r="H207" s="308"/>
      <c r="I207" s="309"/>
      <c r="J207" s="310"/>
      <c r="K207" s="38"/>
      <c r="L207" s="88"/>
    </row>
    <row r="208" spans="1:14">
      <c r="A208" s="2718"/>
      <c r="B208" s="2032"/>
      <c r="C208" s="73">
        <v>2020</v>
      </c>
      <c r="D208" s="1809"/>
      <c r="E208" s="312"/>
      <c r="F208" s="312"/>
      <c r="G208" s="313"/>
      <c r="H208" s="314"/>
      <c r="I208" s="315"/>
      <c r="J208" s="316"/>
      <c r="K208" s="312"/>
      <c r="L208" s="317"/>
    </row>
    <row r="209" spans="1:12" ht="20.25" customHeight="1" thickBot="1">
      <c r="A209" s="2612"/>
      <c r="B209" s="2719"/>
      <c r="C209" s="136" t="s">
        <v>13</v>
      </c>
      <c r="D209" s="139">
        <f>SUM(D202:D208)</f>
        <v>26</v>
      </c>
      <c r="E209" s="139">
        <f t="shared" ref="E209:L209" si="23">SUM(E202:E208)</f>
        <v>304</v>
      </c>
      <c r="F209" s="139">
        <f t="shared" si="23"/>
        <v>34</v>
      </c>
      <c r="G209" s="139">
        <f t="shared" si="23"/>
        <v>3</v>
      </c>
      <c r="H209" s="139">
        <f t="shared" si="23"/>
        <v>77</v>
      </c>
      <c r="I209" s="139">
        <f t="shared" si="23"/>
        <v>1</v>
      </c>
      <c r="J209" s="139">
        <f t="shared" si="23"/>
        <v>9</v>
      </c>
      <c r="K209" s="139">
        <f t="shared" si="23"/>
        <v>250</v>
      </c>
      <c r="L209" s="117">
        <f t="shared" si="23"/>
        <v>0</v>
      </c>
    </row>
    <row r="211" spans="1:12" ht="15.75" thickBot="1"/>
    <row r="212" spans="1:12" ht="29.25">
      <c r="A212" s="1843" t="s">
        <v>161</v>
      </c>
      <c r="B212" s="322" t="s">
        <v>162</v>
      </c>
      <c r="C212" s="323">
        <v>2014</v>
      </c>
      <c r="D212" s="324">
        <v>2015</v>
      </c>
      <c r="E212" s="324">
        <v>2016</v>
      </c>
      <c r="F212" s="324">
        <v>2017</v>
      </c>
      <c r="G212" s="324">
        <v>2018</v>
      </c>
      <c r="H212" s="324">
        <v>2019</v>
      </c>
      <c r="I212" s="325">
        <v>2020</v>
      </c>
    </row>
    <row r="213" spans="1:12" ht="15" customHeight="1">
      <c r="A213" t="s">
        <v>163</v>
      </c>
      <c r="B213" s="2692"/>
      <c r="C213" s="72"/>
      <c r="D213" s="328">
        <f>SUM(D214:D216)</f>
        <v>8045484.1999999993</v>
      </c>
      <c r="E213" s="328">
        <f>SUM(E214:E217)</f>
        <v>22884298.729999997</v>
      </c>
      <c r="F213" s="328">
        <f>SUM(F214:F217)</f>
        <v>21673580.539999999</v>
      </c>
      <c r="G213" s="135"/>
      <c r="H213" s="135"/>
      <c r="I213" s="326"/>
    </row>
    <row r="214" spans="1:12">
      <c r="A214" t="s">
        <v>164</v>
      </c>
      <c r="B214" s="2555"/>
      <c r="C214" s="72"/>
      <c r="D214" s="328">
        <f>SUM('dolnośląskie:ODR woj. zachodniopomorskie'!D214)</f>
        <v>5325783.08</v>
      </c>
      <c r="E214" s="328">
        <f>SUM('dolnośląskie:ODR woj. zachodniopomorskie'!E214)</f>
        <v>14055284.999999996</v>
      </c>
      <c r="F214" s="1590">
        <f>SUM('dolnośląskie:ODR woj. zachodniopomorskie'!F214)</f>
        <v>11081754.090000002</v>
      </c>
      <c r="G214" s="135"/>
      <c r="H214" s="135"/>
      <c r="I214" s="326"/>
    </row>
    <row r="215" spans="1:12">
      <c r="A215" t="s">
        <v>165</v>
      </c>
      <c r="B215" s="2555"/>
      <c r="C215" s="72"/>
      <c r="D215" s="328">
        <f>SUM('dolnośląskie:ODR woj. zachodniopomorskie'!D215)</f>
        <v>28619.64</v>
      </c>
      <c r="E215" s="328">
        <f>SUM('dolnośląskie:ODR woj. zachodniopomorskie'!E215)</f>
        <v>89868.160000000003</v>
      </c>
      <c r="F215" s="1590">
        <f>SUM('dolnośląskie:ODR woj. zachodniopomorskie'!F215)</f>
        <v>40297.750000000007</v>
      </c>
      <c r="G215" s="135"/>
      <c r="H215" s="135"/>
      <c r="I215" s="326"/>
    </row>
    <row r="216" spans="1:12">
      <c r="A216" t="s">
        <v>166</v>
      </c>
      <c r="B216" s="2555"/>
      <c r="C216" s="72"/>
      <c r="D216" s="328">
        <f>SUM('dolnośląskie:ODR woj. zachodniopomorskie'!D216)</f>
        <v>2691081.48</v>
      </c>
      <c r="E216" s="328">
        <f>SUM('dolnośląskie:ODR woj. zachodniopomorskie'!E216)</f>
        <v>3717983.6799999992</v>
      </c>
      <c r="F216" s="1590">
        <f>SUM('dolnośląskie:ODR woj. zachodniopomorskie'!F216)</f>
        <v>3724946.0100000002</v>
      </c>
      <c r="G216" s="135"/>
      <c r="H216" s="135"/>
      <c r="I216" s="326"/>
    </row>
    <row r="217" spans="1:12">
      <c r="A217" t="s">
        <v>167</v>
      </c>
      <c r="B217" s="2555"/>
      <c r="C217" s="72"/>
      <c r="D217" s="328">
        <f>SUM('dolnośląskie:ODR woj. zachodniopomorskie'!D217)</f>
        <v>1535964.5999999999</v>
      </c>
      <c r="E217" s="328">
        <f>SUM('dolnośląskie:ODR woj. zachodniopomorskie'!E217)</f>
        <v>5021161.8899999997</v>
      </c>
      <c r="F217" s="1590">
        <f>SUM('dolnośląskie:ODR woj. zachodniopomorskie'!F217)</f>
        <v>6826582.6899999995</v>
      </c>
      <c r="G217" s="135"/>
      <c r="H217" s="135"/>
      <c r="I217" s="326"/>
    </row>
    <row r="218" spans="1:12" ht="30">
      <c r="A218" s="56" t="s">
        <v>168</v>
      </c>
      <c r="B218" s="2555"/>
      <c r="C218" s="72"/>
      <c r="D218" s="328">
        <f>SUM('dolnośląskie:ODR woj. zachodniopomorskie'!D218)+0.59</f>
        <v>6161364.6799999997</v>
      </c>
      <c r="E218" s="328">
        <f>SUM('dolnośląskie:ODR woj. zachodniopomorskie'!E218)</f>
        <v>11678664.699999997</v>
      </c>
      <c r="F218" s="1590">
        <f>SUM('dolnośląskie:ODR woj. zachodniopomorskie'!F218)</f>
        <v>12904944.730000002</v>
      </c>
      <c r="G218" s="135"/>
      <c r="H218" s="135"/>
      <c r="I218" s="326"/>
    </row>
    <row r="219" spans="1:12" ht="15.75" thickBot="1">
      <c r="A219" s="1852"/>
      <c r="B219" s="2556"/>
      <c r="C219" s="42" t="s">
        <v>13</v>
      </c>
      <c r="D219" s="332">
        <f>SUM(D214:D218)</f>
        <v>15742813.479999999</v>
      </c>
      <c r="E219" s="332">
        <f t="shared" ref="E219:I219" si="24">SUM(E214:E218)</f>
        <v>34562963.429999992</v>
      </c>
      <c r="F219" s="332">
        <f t="shared" si="24"/>
        <v>34578525.270000003</v>
      </c>
      <c r="G219" s="333">
        <f t="shared" si="24"/>
        <v>0</v>
      </c>
      <c r="H219" s="333">
        <f t="shared" si="24"/>
        <v>0</v>
      </c>
      <c r="I219" s="451">
        <f t="shared" si="24"/>
        <v>0</v>
      </c>
    </row>
    <row r="227" spans="1:1">
      <c r="A227" s="56"/>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7" zoomScale="80" zoomScaleNormal="80" workbookViewId="0">
      <selection activeCell="I18" sqref="I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231</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36.75" customHeight="1">
      <c r="A15" s="469"/>
      <c r="B15" s="9"/>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42.5"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232</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16</v>
      </c>
      <c r="E18" s="38">
        <v>2</v>
      </c>
      <c r="F18" s="38"/>
      <c r="G18" s="32">
        <v>18</v>
      </c>
      <c r="H18" s="39"/>
      <c r="I18" s="38">
        <v>8</v>
      </c>
      <c r="J18" s="38"/>
      <c r="K18" s="38">
        <v>7</v>
      </c>
      <c r="L18" s="38">
        <v>1</v>
      </c>
      <c r="M18" s="38"/>
      <c r="N18" s="38"/>
      <c r="O18" s="40">
        <v>2</v>
      </c>
      <c r="P18" s="35"/>
      <c r="Q18" s="35"/>
      <c r="R18" s="35"/>
      <c r="S18" s="35"/>
      <c r="T18" s="35"/>
      <c r="U18" s="35"/>
      <c r="V18" s="35"/>
      <c r="W18" s="35"/>
      <c r="X18" s="35"/>
      <c r="Y18" s="35"/>
    </row>
    <row r="19" spans="1:25">
      <c r="A19" s="1854"/>
      <c r="B19" s="1855"/>
      <c r="C19" s="36">
        <v>2016</v>
      </c>
      <c r="D19" s="37">
        <v>45</v>
      </c>
      <c r="E19" s="38">
        <v>3</v>
      </c>
      <c r="F19" s="38">
        <v>2</v>
      </c>
      <c r="G19" s="32">
        <f t="shared" si="0"/>
        <v>50</v>
      </c>
      <c r="H19" s="39"/>
      <c r="I19" s="38">
        <v>20</v>
      </c>
      <c r="J19" s="38">
        <v>1</v>
      </c>
      <c r="K19" s="38">
        <v>20</v>
      </c>
      <c r="L19" s="38">
        <v>6</v>
      </c>
      <c r="M19" s="38"/>
      <c r="N19" s="38"/>
      <c r="O19" s="40">
        <v>3</v>
      </c>
      <c r="P19" s="35"/>
      <c r="Q19" s="35"/>
      <c r="R19" s="35"/>
      <c r="S19" s="35"/>
      <c r="T19" s="35"/>
      <c r="U19" s="35"/>
      <c r="V19" s="35"/>
      <c r="W19" s="35"/>
      <c r="X19" s="35"/>
      <c r="Y19" s="35"/>
    </row>
    <row r="20" spans="1:25">
      <c r="A20" s="1854"/>
      <c r="B20" s="1855"/>
      <c r="C20" s="36">
        <v>2017</v>
      </c>
      <c r="D20" s="37">
        <v>36</v>
      </c>
      <c r="E20" s="38"/>
      <c r="F20" s="38">
        <v>1</v>
      </c>
      <c r="G20" s="32">
        <f t="shared" si="0"/>
        <v>37</v>
      </c>
      <c r="H20" s="39"/>
      <c r="I20" s="38">
        <v>10</v>
      </c>
      <c r="J20" s="38"/>
      <c r="K20" s="38">
        <v>16</v>
      </c>
      <c r="L20" s="38"/>
      <c r="M20" s="38"/>
      <c r="N20" s="38"/>
      <c r="O20" s="40">
        <v>11</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60" customHeight="1" thickBot="1">
      <c r="A24" s="1856"/>
      <c r="B24" s="1857"/>
      <c r="C24" s="42" t="s">
        <v>13</v>
      </c>
      <c r="D24" s="43">
        <f>SUM(D17:D23)</f>
        <v>97</v>
      </c>
      <c r="E24" s="44">
        <f>SUM(E17:E23)</f>
        <v>5</v>
      </c>
      <c r="F24" s="44">
        <f>SUM(F17:F23)</f>
        <v>3</v>
      </c>
      <c r="G24" s="45">
        <f>SUM(D24:F24)</f>
        <v>105</v>
      </c>
      <c r="H24" s="46">
        <f>SUM(H17:H23)</f>
        <v>0</v>
      </c>
      <c r="I24" s="47">
        <f>SUM(I17:I23)</f>
        <v>38</v>
      </c>
      <c r="J24" s="47">
        <f t="shared" ref="J24:N24" si="1">SUM(J17:J23)</f>
        <v>1</v>
      </c>
      <c r="K24" s="47">
        <f t="shared" si="1"/>
        <v>43</v>
      </c>
      <c r="L24" s="47">
        <f t="shared" si="1"/>
        <v>7</v>
      </c>
      <c r="M24" s="47">
        <f t="shared" si="1"/>
        <v>0</v>
      </c>
      <c r="N24" s="47">
        <f t="shared" si="1"/>
        <v>0</v>
      </c>
      <c r="O24" s="48">
        <f>SUM(O17:O23)</f>
        <v>16</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469"/>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013" t="s">
        <v>233</v>
      </c>
      <c r="B28" s="2014"/>
      <c r="C28" s="490">
        <v>2014</v>
      </c>
      <c r="D28" s="491"/>
      <c r="E28" s="492"/>
      <c r="F28" s="492"/>
      <c r="G28" s="493">
        <f>SUM(D28:F28)</f>
        <v>0</v>
      </c>
      <c r="H28" s="35"/>
      <c r="I28" s="35"/>
      <c r="J28" s="35"/>
      <c r="K28" s="35"/>
      <c r="L28" s="35"/>
      <c r="M28" s="35"/>
      <c r="N28" s="35"/>
      <c r="O28" s="35"/>
      <c r="P28" s="35"/>
      <c r="Q28" s="7"/>
    </row>
    <row r="29" spans="1:25">
      <c r="A29" s="2015"/>
      <c r="B29" s="2014"/>
      <c r="C29" s="494">
        <v>2015</v>
      </c>
      <c r="D29" s="495">
        <v>4604</v>
      </c>
      <c r="E29" s="496">
        <v>33</v>
      </c>
      <c r="F29" s="496"/>
      <c r="G29" s="493">
        <f>D29+E29</f>
        <v>4637</v>
      </c>
      <c r="H29" s="35"/>
      <c r="I29" s="35"/>
      <c r="J29" s="35"/>
      <c r="K29" s="35"/>
      <c r="L29" s="35"/>
      <c r="M29" s="35"/>
      <c r="N29" s="35"/>
      <c r="O29" s="35"/>
      <c r="P29" s="35"/>
      <c r="Q29" s="7"/>
    </row>
    <row r="30" spans="1:25">
      <c r="A30" s="2015"/>
      <c r="B30" s="2014"/>
      <c r="C30" s="494">
        <v>2016</v>
      </c>
      <c r="D30" s="495">
        <v>5431</v>
      </c>
      <c r="E30" s="496">
        <v>40</v>
      </c>
      <c r="F30" s="496">
        <v>400011</v>
      </c>
      <c r="G30" s="493">
        <f t="shared" ref="G30:G35" si="2">SUM(D30:F30)</f>
        <v>405482</v>
      </c>
      <c r="H30" s="35"/>
      <c r="I30" s="35"/>
      <c r="J30" s="35"/>
      <c r="K30" s="35"/>
      <c r="L30" s="35"/>
      <c r="M30" s="35"/>
      <c r="N30" s="35"/>
      <c r="O30" s="35"/>
      <c r="P30" s="35"/>
      <c r="Q30" s="7"/>
    </row>
    <row r="31" spans="1:25">
      <c r="A31" s="2015"/>
      <c r="B31" s="2014"/>
      <c r="C31" s="494">
        <v>2017</v>
      </c>
      <c r="D31" s="495">
        <v>21272</v>
      </c>
      <c r="E31" s="496"/>
      <c r="F31" s="496">
        <v>300000</v>
      </c>
      <c r="G31" s="493">
        <f t="shared" si="2"/>
        <v>321272</v>
      </c>
      <c r="H31" s="35"/>
      <c r="I31" s="35"/>
      <c r="J31" s="35"/>
      <c r="K31" s="35"/>
      <c r="L31" s="35"/>
      <c r="M31" s="35"/>
      <c r="N31" s="35"/>
      <c r="O31" s="35"/>
      <c r="P31" s="35"/>
      <c r="Q31" s="7"/>
    </row>
    <row r="32" spans="1:25">
      <c r="A32" s="2015"/>
      <c r="B32" s="2014"/>
      <c r="C32" s="494">
        <v>2018</v>
      </c>
      <c r="D32" s="495"/>
      <c r="E32" s="496"/>
      <c r="F32" s="496"/>
      <c r="G32" s="493">
        <f>SUM(D32:F32)</f>
        <v>0</v>
      </c>
      <c r="H32" s="35"/>
      <c r="I32" s="35"/>
      <c r="J32" s="35"/>
      <c r="K32" s="35"/>
      <c r="L32" s="35"/>
      <c r="M32" s="35"/>
      <c r="N32" s="35"/>
      <c r="O32" s="35"/>
      <c r="P32" s="35"/>
      <c r="Q32" s="7"/>
    </row>
    <row r="33" spans="1:17">
      <c r="A33" s="2015"/>
      <c r="B33" s="2014"/>
      <c r="C33" s="497">
        <v>2019</v>
      </c>
      <c r="D33" s="495"/>
      <c r="E33" s="496"/>
      <c r="F33" s="496"/>
      <c r="G33" s="493">
        <f t="shared" si="2"/>
        <v>0</v>
      </c>
      <c r="H33" s="35"/>
      <c r="I33" s="35"/>
      <c r="J33" s="35"/>
      <c r="K33" s="35"/>
      <c r="L33" s="35"/>
      <c r="M33" s="35"/>
      <c r="N33" s="35"/>
      <c r="O33" s="35"/>
      <c r="P33" s="35"/>
      <c r="Q33" s="7"/>
    </row>
    <row r="34" spans="1:17">
      <c r="A34" s="2015"/>
      <c r="B34" s="2014"/>
      <c r="C34" s="494">
        <v>2020</v>
      </c>
      <c r="D34" s="495"/>
      <c r="E34" s="496"/>
      <c r="F34" s="496"/>
      <c r="G34" s="493">
        <f t="shared" si="2"/>
        <v>0</v>
      </c>
      <c r="H34" s="35"/>
      <c r="I34" s="35"/>
      <c r="J34" s="35"/>
      <c r="K34" s="35"/>
      <c r="L34" s="35"/>
      <c r="M34" s="35"/>
      <c r="N34" s="35"/>
      <c r="O34" s="35"/>
      <c r="P34" s="35"/>
      <c r="Q34" s="7"/>
    </row>
    <row r="35" spans="1:17" ht="20.25" customHeight="1" thickBot="1">
      <c r="A35" s="2016"/>
      <c r="B35" s="2017"/>
      <c r="C35" s="498" t="s">
        <v>13</v>
      </c>
      <c r="D35" s="499">
        <f>SUM(D28:D34)</f>
        <v>31307</v>
      </c>
      <c r="E35" s="500">
        <f>SUM(E28:E34)</f>
        <v>73</v>
      </c>
      <c r="F35" s="500">
        <f>SUM(F28:F34)</f>
        <v>700011</v>
      </c>
      <c r="G35" s="501">
        <f t="shared" si="2"/>
        <v>731391</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471" t="s">
        <v>26</v>
      </c>
      <c r="B39" s="372"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8868</v>
      </c>
      <c r="E41" s="36">
        <v>1076</v>
      </c>
      <c r="F41" s="7"/>
      <c r="G41" s="35"/>
      <c r="H41" s="35"/>
    </row>
    <row r="42" spans="1:17">
      <c r="A42" s="1854"/>
      <c r="B42" s="1855"/>
      <c r="C42" s="73">
        <v>2016</v>
      </c>
      <c r="D42" s="37">
        <v>5361</v>
      </c>
      <c r="E42" s="36">
        <v>2206</v>
      </c>
      <c r="F42" s="7"/>
      <c r="G42" s="35"/>
      <c r="H42" s="35"/>
    </row>
    <row r="43" spans="1:17">
      <c r="A43" s="1854"/>
      <c r="B43" s="1855"/>
      <c r="C43" s="73">
        <v>2017</v>
      </c>
      <c r="D43" s="37">
        <v>3589</v>
      </c>
      <c r="E43" s="36">
        <v>1997</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17818</v>
      </c>
      <c r="E47" s="455">
        <f>SUM(E40:E46)</f>
        <v>5279</v>
      </c>
      <c r="F47" s="78"/>
      <c r="G47" s="35"/>
      <c r="H47" s="35"/>
    </row>
    <row r="48" spans="1:17" s="35" customFormat="1" ht="15.75" thickBot="1">
      <c r="A48" s="79"/>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v>1</v>
      </c>
      <c r="E52" s="38"/>
      <c r="F52" s="38"/>
      <c r="G52" s="38">
        <v>156</v>
      </c>
      <c r="H52" s="38"/>
      <c r="I52" s="38"/>
      <c r="J52" s="38">
        <v>15</v>
      </c>
      <c r="K52" s="88">
        <v>695</v>
      </c>
    </row>
    <row r="53" spans="1:15">
      <c r="A53" s="1874"/>
      <c r="B53" s="1881"/>
      <c r="C53" s="73">
        <v>2016</v>
      </c>
      <c r="D53" s="37">
        <v>1</v>
      </c>
      <c r="E53" s="38"/>
      <c r="F53" s="38"/>
      <c r="G53" s="38">
        <v>183</v>
      </c>
      <c r="H53" s="38"/>
      <c r="I53" s="38"/>
      <c r="J53" s="38">
        <v>21</v>
      </c>
      <c r="K53" s="88">
        <v>5833</v>
      </c>
    </row>
    <row r="54" spans="1:15">
      <c r="A54" s="1874"/>
      <c r="B54" s="1881"/>
      <c r="C54" s="73">
        <v>2017</v>
      </c>
      <c r="D54" s="37">
        <v>1</v>
      </c>
      <c r="E54" s="38"/>
      <c r="F54" s="38"/>
      <c r="G54" s="38">
        <v>367</v>
      </c>
      <c r="H54" s="38"/>
      <c r="I54" s="38"/>
      <c r="J54" s="38">
        <v>66</v>
      </c>
      <c r="K54" s="88">
        <v>20061</v>
      </c>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3</v>
      </c>
      <c r="E58" s="44">
        <f>SUM(E51:E57)</f>
        <v>0</v>
      </c>
      <c r="F58" s="44">
        <f>SUM(F51:F57)</f>
        <v>0</v>
      </c>
      <c r="G58" s="44">
        <f>SUM(G51:G57)</f>
        <v>706</v>
      </c>
      <c r="H58" s="44">
        <f>SUM(H51:H57)</f>
        <v>0</v>
      </c>
      <c r="I58" s="44">
        <f t="shared" ref="I58" si="3">SUM(I51:I57)</f>
        <v>0</v>
      </c>
      <c r="J58" s="44">
        <f>SUM(J51:J57)</f>
        <v>102</v>
      </c>
      <c r="K58" s="48">
        <f>SUM(K50:K56)</f>
        <v>26589</v>
      </c>
    </row>
    <row r="59" spans="1:15" ht="15.75" thickBot="1"/>
    <row r="60" spans="1:15" ht="21" customHeight="1">
      <c r="A60" s="1969" t="s">
        <v>44</v>
      </c>
      <c r="B60" s="95"/>
      <c r="C60" s="1971" t="s">
        <v>9</v>
      </c>
      <c r="D60" s="1941" t="s">
        <v>45</v>
      </c>
      <c r="E60" s="96" t="s">
        <v>6</v>
      </c>
      <c r="F60" s="97"/>
      <c r="G60" s="97"/>
      <c r="H60" s="97"/>
      <c r="I60" s="97"/>
      <c r="J60" s="97"/>
      <c r="K60" s="97"/>
      <c r="L60" s="98"/>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234</v>
      </c>
      <c r="B62" s="1899"/>
      <c r="C62" s="106">
        <v>2014</v>
      </c>
      <c r="D62" s="107"/>
      <c r="E62" s="108"/>
      <c r="F62" s="109"/>
      <c r="G62" s="109"/>
      <c r="H62" s="109"/>
      <c r="I62" s="109"/>
      <c r="J62" s="109"/>
      <c r="K62" s="109"/>
      <c r="L62" s="34"/>
      <c r="M62" s="7"/>
      <c r="N62" s="7"/>
      <c r="O62" s="7"/>
    </row>
    <row r="63" spans="1:15">
      <c r="A63" s="1891"/>
      <c r="B63" s="1899"/>
      <c r="C63" s="110">
        <v>2015</v>
      </c>
      <c r="D63" s="111">
        <v>10</v>
      </c>
      <c r="E63" s="112"/>
      <c r="F63" s="38">
        <v>8</v>
      </c>
      <c r="G63" s="38"/>
      <c r="H63" s="38"/>
      <c r="I63" s="38">
        <v>2</v>
      </c>
      <c r="J63" s="38"/>
      <c r="K63" s="38"/>
      <c r="L63" s="88"/>
      <c r="M63" s="7"/>
      <c r="N63" s="7"/>
      <c r="O63" s="7"/>
    </row>
    <row r="64" spans="1:15">
      <c r="A64" s="1891"/>
      <c r="B64" s="1899"/>
      <c r="C64" s="110">
        <v>2016</v>
      </c>
      <c r="D64" s="111">
        <v>8</v>
      </c>
      <c r="E64" s="112"/>
      <c r="F64" s="38">
        <v>8</v>
      </c>
      <c r="G64" s="38"/>
      <c r="H64" s="38"/>
      <c r="I64" s="38"/>
      <c r="J64" s="38"/>
      <c r="K64" s="38"/>
      <c r="L64" s="88"/>
      <c r="M64" s="7"/>
      <c r="N64" s="7"/>
      <c r="O64" s="7"/>
    </row>
    <row r="65" spans="1:20">
      <c r="A65" s="1891"/>
      <c r="B65" s="1899"/>
      <c r="C65" s="110">
        <v>2017</v>
      </c>
      <c r="D65" s="111">
        <v>6</v>
      </c>
      <c r="E65" s="112"/>
      <c r="F65" s="38"/>
      <c r="G65" s="38"/>
      <c r="H65" s="38">
        <v>1</v>
      </c>
      <c r="I65" s="38"/>
      <c r="J65" s="38"/>
      <c r="K65" s="38"/>
      <c r="L65" s="88">
        <v>5</v>
      </c>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24</v>
      </c>
      <c r="E69" s="115">
        <f>SUM(E62:E68)</f>
        <v>0</v>
      </c>
      <c r="F69" s="116">
        <f t="shared" ref="F69:I69" si="4">SUM(F62:F68)</f>
        <v>16</v>
      </c>
      <c r="G69" s="116">
        <f t="shared" si="4"/>
        <v>0</v>
      </c>
      <c r="H69" s="116">
        <f t="shared" si="4"/>
        <v>1</v>
      </c>
      <c r="I69" s="116">
        <f t="shared" si="4"/>
        <v>2</v>
      </c>
      <c r="J69" s="116"/>
      <c r="K69" s="116">
        <f>SUM(K62:K68)</f>
        <v>0</v>
      </c>
      <c r="L69" s="117">
        <f>SUM(L62:L68)</f>
        <v>5</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471"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v>12</v>
      </c>
      <c r="E73" s="135"/>
      <c r="F73" s="135">
        <v>1075</v>
      </c>
      <c r="G73" s="132">
        <v>1087</v>
      </c>
      <c r="H73" s="37"/>
      <c r="I73" s="37">
        <v>12</v>
      </c>
      <c r="J73" s="38"/>
      <c r="K73" s="38"/>
      <c r="L73" s="38"/>
      <c r="M73" s="38"/>
      <c r="N73" s="38"/>
      <c r="O73" s="88">
        <v>1075</v>
      </c>
    </row>
    <row r="74" spans="1:20">
      <c r="A74" s="1854"/>
      <c r="B74" s="1899"/>
      <c r="C74" s="73">
        <v>2016</v>
      </c>
      <c r="D74" s="135"/>
      <c r="E74" s="135"/>
      <c r="F74" s="135"/>
      <c r="G74" s="132">
        <f t="shared" ref="G74:G78" si="5">SUM(D74:F74)</f>
        <v>0</v>
      </c>
      <c r="H74" s="37"/>
      <c r="I74" s="37"/>
      <c r="J74" s="38"/>
      <c r="K74" s="38"/>
      <c r="L74" s="38"/>
      <c r="M74" s="38"/>
      <c r="N74" s="38"/>
      <c r="O74" s="88"/>
    </row>
    <row r="75" spans="1:20">
      <c r="A75" s="1854"/>
      <c r="B75" s="1899"/>
      <c r="C75" s="73">
        <v>2017</v>
      </c>
      <c r="D75" s="135"/>
      <c r="E75" s="135">
        <v>3</v>
      </c>
      <c r="F75" s="135"/>
      <c r="G75" s="132">
        <f t="shared" si="5"/>
        <v>3</v>
      </c>
      <c r="H75" s="37"/>
      <c r="I75" s="37">
        <v>1</v>
      </c>
      <c r="J75" s="38"/>
      <c r="K75" s="38">
        <v>2</v>
      </c>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12</v>
      </c>
      <c r="E79" s="114">
        <f>SUM(E72:E78)</f>
        <v>3</v>
      </c>
      <c r="F79" s="114">
        <f>SUM(F72:F78)</f>
        <v>1075</v>
      </c>
      <c r="G79" s="137">
        <f>SUM(G72:G78)</f>
        <v>1090</v>
      </c>
      <c r="H79" s="138">
        <v>0</v>
      </c>
      <c r="I79" s="139">
        <f t="shared" ref="I79:O79" si="6">SUM(I72:I78)</f>
        <v>13</v>
      </c>
      <c r="J79" s="116">
        <f t="shared" si="6"/>
        <v>0</v>
      </c>
      <c r="K79" s="116">
        <f t="shared" si="6"/>
        <v>2</v>
      </c>
      <c r="L79" s="116">
        <f t="shared" si="6"/>
        <v>0</v>
      </c>
      <c r="M79" s="116">
        <f t="shared" si="6"/>
        <v>0</v>
      </c>
      <c r="N79" s="116">
        <f t="shared" si="6"/>
        <v>0</v>
      </c>
      <c r="O79" s="117">
        <f t="shared" si="6"/>
        <v>1075</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475" t="s">
        <v>56</v>
      </c>
      <c r="B84" s="394" t="s">
        <v>178</v>
      </c>
      <c r="C84" s="149" t="s">
        <v>9</v>
      </c>
      <c r="D84" s="150" t="s">
        <v>58</v>
      </c>
      <c r="E84" s="151" t="s">
        <v>59</v>
      </c>
      <c r="F84" s="152" t="s">
        <v>60</v>
      </c>
      <c r="G84" s="152" t="s">
        <v>61</v>
      </c>
      <c r="H84" s="152" t="s">
        <v>62</v>
      </c>
      <c r="I84" s="152" t="s">
        <v>63</v>
      </c>
      <c r="J84" s="152" t="s">
        <v>64</v>
      </c>
      <c r="K84" s="153" t="s">
        <v>65</v>
      </c>
    </row>
    <row r="85" spans="1:16" ht="15" customHeight="1">
      <c r="A85" s="2005" t="s">
        <v>235</v>
      </c>
      <c r="B85" s="2006"/>
      <c r="C85" s="72">
        <v>2014</v>
      </c>
      <c r="D85" s="154"/>
      <c r="E85" s="155"/>
      <c r="F85" s="31"/>
      <c r="G85" s="31"/>
      <c r="H85" s="31"/>
      <c r="I85" s="31"/>
      <c r="J85" s="31"/>
      <c r="K85" s="34"/>
    </row>
    <row r="86" spans="1:16">
      <c r="A86" s="2007"/>
      <c r="B86" s="2006"/>
      <c r="C86" s="73">
        <v>2015</v>
      </c>
      <c r="D86" s="156">
        <v>1</v>
      </c>
      <c r="E86" s="112">
        <v>1</v>
      </c>
      <c r="F86" s="38"/>
      <c r="G86" s="38"/>
      <c r="H86" s="38"/>
      <c r="I86" s="38"/>
      <c r="J86" s="38"/>
      <c r="K86" s="88"/>
      <c r="M86">
        <v>1</v>
      </c>
    </row>
    <row r="87" spans="1:16">
      <c r="A87" s="2007"/>
      <c r="B87" s="2006"/>
      <c r="C87" s="73">
        <v>2016</v>
      </c>
      <c r="D87" s="156">
        <v>3</v>
      </c>
      <c r="E87" s="112">
        <v>1</v>
      </c>
      <c r="F87" s="38"/>
      <c r="G87" s="38"/>
      <c r="H87" s="38">
        <v>2</v>
      </c>
      <c r="I87" s="38"/>
      <c r="J87" s="38"/>
      <c r="K87" s="88"/>
    </row>
    <row r="88" spans="1:16">
      <c r="A88" s="2007"/>
      <c r="B88" s="2006"/>
      <c r="C88" s="73">
        <v>2017</v>
      </c>
      <c r="D88" s="156">
        <v>5</v>
      </c>
      <c r="E88" s="112">
        <v>3</v>
      </c>
      <c r="F88" s="38">
        <v>1</v>
      </c>
      <c r="G88" s="38"/>
      <c r="H88" s="38">
        <v>1</v>
      </c>
      <c r="I88" s="38"/>
      <c r="J88" s="38"/>
      <c r="K88" s="88"/>
    </row>
    <row r="89" spans="1:16">
      <c r="A89" s="2007"/>
      <c r="B89" s="2006"/>
      <c r="C89" s="73">
        <v>2018</v>
      </c>
      <c r="D89" s="156"/>
      <c r="E89" s="112"/>
      <c r="F89" s="38"/>
      <c r="G89" s="38"/>
      <c r="H89" s="38"/>
      <c r="I89" s="38"/>
      <c r="J89" s="38"/>
      <c r="K89" s="88"/>
    </row>
    <row r="90" spans="1:16">
      <c r="A90" s="2007"/>
      <c r="B90" s="2006"/>
      <c r="C90" s="73">
        <v>2019</v>
      </c>
      <c r="D90" s="156"/>
      <c r="E90" s="112"/>
      <c r="F90" s="38"/>
      <c r="G90" s="38"/>
      <c r="H90" s="38"/>
      <c r="I90" s="38"/>
      <c r="J90" s="38"/>
      <c r="K90" s="88"/>
    </row>
    <row r="91" spans="1:16">
      <c r="A91" s="2007"/>
      <c r="B91" s="2006"/>
      <c r="C91" s="73">
        <v>2020</v>
      </c>
      <c r="D91" s="156"/>
      <c r="E91" s="112"/>
      <c r="F91" s="38"/>
      <c r="G91" s="38"/>
      <c r="H91" s="38"/>
      <c r="I91" s="38"/>
      <c r="J91" s="38"/>
      <c r="K91" s="88"/>
    </row>
    <row r="92" spans="1:16" ht="29.25" customHeight="1" thickBot="1">
      <c r="A92" s="2008"/>
      <c r="B92" s="2009"/>
      <c r="C92" s="136" t="s">
        <v>13</v>
      </c>
      <c r="D92" s="157">
        <f t="shared" ref="D92:I92" si="7">SUM(D85:D91)</f>
        <v>9</v>
      </c>
      <c r="E92" s="115">
        <f t="shared" si="7"/>
        <v>5</v>
      </c>
      <c r="F92" s="116">
        <f t="shared" si="7"/>
        <v>1</v>
      </c>
      <c r="G92" s="116">
        <f t="shared" si="7"/>
        <v>0</v>
      </c>
      <c r="H92" s="116">
        <f t="shared" si="7"/>
        <v>3</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236</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1</v>
      </c>
      <c r="F99" s="177"/>
      <c r="G99" s="178"/>
      <c r="H99" s="178"/>
      <c r="I99" s="178"/>
      <c r="J99" s="178"/>
      <c r="K99" s="178"/>
      <c r="L99" s="178"/>
      <c r="M99" s="179">
        <v>1</v>
      </c>
      <c r="N99" s="165"/>
      <c r="O99" s="165"/>
      <c r="P99" s="165"/>
    </row>
    <row r="100" spans="1:16" ht="16.5" customHeight="1">
      <c r="A100" s="1891"/>
      <c r="B100" s="1899"/>
      <c r="C100" s="110">
        <v>2016</v>
      </c>
      <c r="D100" s="37">
        <v>1</v>
      </c>
      <c r="E100" s="38">
        <v>1</v>
      </c>
      <c r="F100" s="177"/>
      <c r="G100" s="178"/>
      <c r="H100" s="178"/>
      <c r="I100" s="178"/>
      <c r="J100" s="178"/>
      <c r="K100" s="178"/>
      <c r="L100" s="178"/>
      <c r="M100" s="179">
        <v>1</v>
      </c>
      <c r="N100" s="165"/>
      <c r="O100" s="165"/>
      <c r="P100" s="165"/>
    </row>
    <row r="101" spans="1:16" ht="16.5" customHeight="1">
      <c r="A101" s="1891"/>
      <c r="B101" s="1899"/>
      <c r="C101" s="110">
        <v>2017</v>
      </c>
      <c r="D101" s="37">
        <v>1</v>
      </c>
      <c r="E101" s="38">
        <v>1</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3</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137.2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c r="B131" s="1855"/>
      <c r="C131" s="106">
        <v>2015</v>
      </c>
      <c r="D131" s="30">
        <v>44</v>
      </c>
      <c r="E131" s="31"/>
      <c r="F131" s="31"/>
      <c r="G131" s="195">
        <v>44</v>
      </c>
      <c r="H131" s="185"/>
      <c r="I131" s="185"/>
      <c r="J131" s="185"/>
      <c r="K131" s="185"/>
      <c r="L131" s="185"/>
      <c r="M131" s="185"/>
      <c r="N131" s="185"/>
    </row>
    <row r="132" spans="1:16">
      <c r="A132" s="1854"/>
      <c r="B132" s="1855"/>
      <c r="C132" s="110">
        <v>2016</v>
      </c>
      <c r="D132" s="37">
        <v>77</v>
      </c>
      <c r="E132" s="38"/>
      <c r="F132" s="38"/>
      <c r="G132" s="195">
        <f t="shared" ref="G132:G136" si="11">SUM(D132:F132)</f>
        <v>77</v>
      </c>
      <c r="H132" s="185"/>
      <c r="I132" s="185"/>
      <c r="J132" s="185"/>
      <c r="K132" s="185"/>
      <c r="L132" s="185"/>
      <c r="M132" s="185"/>
      <c r="N132" s="185"/>
    </row>
    <row r="133" spans="1:16">
      <c r="A133" s="1854"/>
      <c r="B133" s="1855"/>
      <c r="C133" s="502">
        <v>2017</v>
      </c>
      <c r="D133" s="503">
        <v>27</v>
      </c>
      <c r="E133" s="504"/>
      <c r="F133" s="504"/>
      <c r="G133" s="505">
        <f t="shared" si="11"/>
        <v>27</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148</v>
      </c>
      <c r="E137" s="139">
        <f t="shared" ref="E137:F137" si="12">SUM(E131:E136)</f>
        <v>0</v>
      </c>
      <c r="F137" s="139">
        <f t="shared" si="12"/>
        <v>0</v>
      </c>
      <c r="G137" s="196">
        <f>SUM(G131:G136)</f>
        <v>148</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199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1" t="s">
        <v>237</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1</v>
      </c>
      <c r="E179" s="38">
        <v>2</v>
      </c>
      <c r="F179" s="38"/>
      <c r="G179" s="284">
        <v>3</v>
      </c>
      <c r="H179" s="411">
        <v>1</v>
      </c>
      <c r="I179" s="112"/>
      <c r="J179" s="38">
        <v>1</v>
      </c>
      <c r="K179" s="38"/>
      <c r="L179" s="38"/>
      <c r="M179" s="38">
        <v>2</v>
      </c>
      <c r="N179" s="38"/>
      <c r="O179" s="88"/>
    </row>
    <row r="180" spans="1:15">
      <c r="A180" s="1891"/>
      <c r="B180" s="1899"/>
      <c r="C180" s="110">
        <v>2016</v>
      </c>
      <c r="D180" s="37">
        <v>9</v>
      </c>
      <c r="E180" s="38">
        <v>4</v>
      </c>
      <c r="F180" s="38">
        <v>2</v>
      </c>
      <c r="G180" s="284">
        <f t="shared" ref="G180:G184" si="19">SUM(D180:F180)</f>
        <v>15</v>
      </c>
      <c r="H180" s="411">
        <v>13</v>
      </c>
      <c r="I180" s="112"/>
      <c r="J180" s="38">
        <v>9</v>
      </c>
      <c r="K180" s="38"/>
      <c r="L180" s="38">
        <v>4</v>
      </c>
      <c r="M180" s="38">
        <v>2</v>
      </c>
      <c r="N180" s="38"/>
      <c r="O180" s="88"/>
    </row>
    <row r="181" spans="1:15">
      <c r="A181" s="1891"/>
      <c r="B181" s="1899"/>
      <c r="C181" s="110">
        <v>2017</v>
      </c>
      <c r="D181" s="37">
        <v>6</v>
      </c>
      <c r="E181" s="38">
        <v>6</v>
      </c>
      <c r="F181" s="38"/>
      <c r="G181" s="284">
        <f t="shared" si="19"/>
        <v>12</v>
      </c>
      <c r="H181" s="411">
        <v>9</v>
      </c>
      <c r="I181" s="112">
        <v>3</v>
      </c>
      <c r="J181" s="38">
        <v>3</v>
      </c>
      <c r="K181" s="38"/>
      <c r="L181" s="38">
        <v>6</v>
      </c>
      <c r="M181" s="38"/>
      <c r="N181" s="38"/>
      <c r="O181" s="88"/>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16</v>
      </c>
      <c r="E185" s="116">
        <f>SUM(E178:E184)</f>
        <v>12</v>
      </c>
      <c r="F185" s="116">
        <f>SUM(F178:F184)</f>
        <v>2</v>
      </c>
      <c r="G185" s="220">
        <f t="shared" ref="G185:O185" si="20">SUM(G178:G184)</f>
        <v>30</v>
      </c>
      <c r="H185" s="285">
        <f t="shared" si="20"/>
        <v>23</v>
      </c>
      <c r="I185" s="115">
        <f t="shared" si="20"/>
        <v>3</v>
      </c>
      <c r="J185" s="116">
        <f t="shared" si="20"/>
        <v>13</v>
      </c>
      <c r="K185" s="116">
        <f t="shared" si="20"/>
        <v>0</v>
      </c>
      <c r="L185" s="116">
        <f t="shared" si="20"/>
        <v>10</v>
      </c>
      <c r="M185" s="116">
        <f t="shared" si="20"/>
        <v>4</v>
      </c>
      <c r="N185" s="116">
        <f t="shared" si="20"/>
        <v>0</v>
      </c>
      <c r="O185" s="117">
        <f t="shared" si="20"/>
        <v>0</v>
      </c>
    </row>
    <row r="186" spans="1:15" ht="33" customHeight="1" thickBot="1"/>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976" t="s">
        <v>238</v>
      </c>
      <c r="B189" s="1977"/>
      <c r="C189" s="290">
        <v>2014</v>
      </c>
      <c r="D189" s="133"/>
      <c r="E189" s="109"/>
      <c r="F189" s="109"/>
      <c r="G189" s="291">
        <f>SUM(D189:F189)</f>
        <v>0</v>
      </c>
      <c r="H189" s="108"/>
      <c r="I189" s="109"/>
      <c r="J189" s="109"/>
      <c r="K189" s="109"/>
      <c r="L189" s="134"/>
    </row>
    <row r="190" spans="1:15">
      <c r="A190" s="1978"/>
      <c r="B190" s="1855"/>
      <c r="C190" s="73">
        <v>2015</v>
      </c>
      <c r="D190" s="37">
        <v>2</v>
      </c>
      <c r="E190" s="38">
        <v>10</v>
      </c>
      <c r="F190" s="38"/>
      <c r="G190" s="291">
        <v>12</v>
      </c>
      <c r="H190" s="112"/>
      <c r="I190" s="38"/>
      <c r="J190" s="38"/>
      <c r="K190" s="38">
        <v>12</v>
      </c>
      <c r="L190" s="88"/>
    </row>
    <row r="191" spans="1:15">
      <c r="A191" s="1978"/>
      <c r="B191" s="1855"/>
      <c r="C191" s="73">
        <v>2016</v>
      </c>
      <c r="D191" s="37">
        <v>390</v>
      </c>
      <c r="E191" s="38">
        <v>140</v>
      </c>
      <c r="F191" s="38">
        <v>25</v>
      </c>
      <c r="G191" s="291">
        <f t="shared" ref="G191:G195" si="21">SUM(D191:F191)</f>
        <v>555</v>
      </c>
      <c r="H191" s="112"/>
      <c r="I191" s="38">
        <v>55</v>
      </c>
      <c r="J191" s="38">
        <v>25</v>
      </c>
      <c r="K191" s="38">
        <v>475</v>
      </c>
      <c r="L191" s="88"/>
    </row>
    <row r="192" spans="1:15">
      <c r="A192" s="1978"/>
      <c r="B192" s="1855"/>
      <c r="C192" s="73">
        <v>2017</v>
      </c>
      <c r="D192" s="37">
        <v>252</v>
      </c>
      <c r="E192" s="38">
        <v>153</v>
      </c>
      <c r="F192" s="38"/>
      <c r="G192" s="291">
        <f t="shared" si="21"/>
        <v>405</v>
      </c>
      <c r="H192" s="112"/>
      <c r="I192" s="38">
        <v>109</v>
      </c>
      <c r="J192" s="38"/>
      <c r="K192" s="38">
        <v>296</v>
      </c>
      <c r="L192" s="88"/>
    </row>
    <row r="193" spans="1:14">
      <c r="A193" s="1978"/>
      <c r="B193" s="1855"/>
      <c r="C193" s="73">
        <v>2018</v>
      </c>
      <c r="D193" s="37"/>
      <c r="E193" s="38"/>
      <c r="F193" s="38"/>
      <c r="G193" s="291">
        <f t="shared" si="21"/>
        <v>0</v>
      </c>
      <c r="H193" s="112"/>
      <c r="I193" s="38"/>
      <c r="J193" s="38"/>
      <c r="K193" s="38"/>
      <c r="L193" s="88"/>
    </row>
    <row r="194" spans="1:14">
      <c r="A194" s="1978"/>
      <c r="B194" s="1855"/>
      <c r="C194" s="73">
        <v>2019</v>
      </c>
      <c r="D194" s="37"/>
      <c r="E194" s="38"/>
      <c r="F194" s="38"/>
      <c r="G194" s="291">
        <f t="shared" si="21"/>
        <v>0</v>
      </c>
      <c r="H194" s="112"/>
      <c r="I194" s="38"/>
      <c r="J194" s="38"/>
      <c r="K194" s="38"/>
      <c r="L194" s="88"/>
    </row>
    <row r="195" spans="1:14">
      <c r="A195" s="1978"/>
      <c r="B195" s="1855"/>
      <c r="C195" s="73">
        <v>2020</v>
      </c>
      <c r="D195" s="37"/>
      <c r="E195" s="38"/>
      <c r="F195" s="38"/>
      <c r="G195" s="291">
        <f t="shared" si="21"/>
        <v>0</v>
      </c>
      <c r="H195" s="112"/>
      <c r="I195" s="38"/>
      <c r="J195" s="38"/>
      <c r="K195" s="38"/>
      <c r="L195" s="88"/>
    </row>
    <row r="196" spans="1:14" ht="15.75" thickBot="1">
      <c r="A196" s="1979"/>
      <c r="B196" s="1857"/>
      <c r="C196" s="136" t="s">
        <v>13</v>
      </c>
      <c r="D196" s="139">
        <f t="shared" ref="D196:L196" si="22">SUM(D189:D195)</f>
        <v>644</v>
      </c>
      <c r="E196" s="116">
        <f t="shared" si="22"/>
        <v>303</v>
      </c>
      <c r="F196" s="116">
        <f t="shared" si="22"/>
        <v>25</v>
      </c>
      <c r="G196" s="292">
        <f t="shared" si="22"/>
        <v>972</v>
      </c>
      <c r="H196" s="115">
        <f t="shared" si="22"/>
        <v>0</v>
      </c>
      <c r="I196" s="116">
        <f t="shared" si="22"/>
        <v>164</v>
      </c>
      <c r="J196" s="116">
        <f t="shared" si="22"/>
        <v>25</v>
      </c>
      <c r="K196" s="116">
        <f t="shared" si="22"/>
        <v>783</v>
      </c>
      <c r="L196" s="117">
        <f t="shared" si="22"/>
        <v>0</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485"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06" t="s">
        <v>161</v>
      </c>
      <c r="B212" s="507" t="s">
        <v>239</v>
      </c>
      <c r="C212" s="508">
        <v>2014</v>
      </c>
      <c r="D212" s="509">
        <v>2015</v>
      </c>
      <c r="E212" s="509">
        <v>2016</v>
      </c>
      <c r="F212" s="324">
        <v>2017</v>
      </c>
      <c r="G212" s="324">
        <v>2018</v>
      </c>
      <c r="H212" s="324">
        <v>2019</v>
      </c>
      <c r="I212" s="325">
        <v>2020</v>
      </c>
    </row>
    <row r="213" spans="1:12" ht="15" customHeight="1">
      <c r="A213" s="329" t="s">
        <v>163</v>
      </c>
      <c r="B213" s="2002" t="s">
        <v>240</v>
      </c>
      <c r="C213" s="358"/>
      <c r="D213" s="510">
        <v>370000</v>
      </c>
      <c r="E213" s="510">
        <v>711779.37</v>
      </c>
      <c r="F213" s="135">
        <v>597378.38</v>
      </c>
      <c r="G213" s="135"/>
      <c r="H213" s="135"/>
      <c r="I213" s="326"/>
    </row>
    <row r="214" spans="1:12">
      <c r="A214" s="329" t="s">
        <v>164</v>
      </c>
      <c r="B214" s="2003"/>
      <c r="C214" s="358"/>
      <c r="D214" s="510">
        <v>324695.76</v>
      </c>
      <c r="E214" s="510">
        <v>631952.86</v>
      </c>
      <c r="F214" s="135">
        <v>303988.59999999998</v>
      </c>
      <c r="G214" s="135"/>
      <c r="H214" s="135"/>
      <c r="I214" s="326"/>
    </row>
    <row r="215" spans="1:12">
      <c r="A215" s="329" t="s">
        <v>165</v>
      </c>
      <c r="B215" s="2003"/>
      <c r="C215" s="358"/>
      <c r="D215" s="510">
        <v>0</v>
      </c>
      <c r="E215" s="510">
        <v>10000</v>
      </c>
      <c r="F215" s="135">
        <v>0</v>
      </c>
      <c r="G215" s="135"/>
      <c r="H215" s="135"/>
      <c r="I215" s="326"/>
    </row>
    <row r="216" spans="1:12">
      <c r="A216" s="329" t="s">
        <v>166</v>
      </c>
      <c r="B216" s="2003"/>
      <c r="C216" s="358"/>
      <c r="D216" s="510">
        <v>45304.24</v>
      </c>
      <c r="E216" s="510">
        <v>15215.4</v>
      </c>
      <c r="F216" s="135">
        <v>39579.01</v>
      </c>
      <c r="G216" s="135"/>
      <c r="H216" s="135"/>
      <c r="I216" s="326"/>
    </row>
    <row r="217" spans="1:12">
      <c r="A217" s="329" t="s">
        <v>167</v>
      </c>
      <c r="B217" s="2003"/>
      <c r="C217" s="358"/>
      <c r="D217" s="510">
        <v>0</v>
      </c>
      <c r="E217" s="510">
        <v>54611.11</v>
      </c>
      <c r="F217" s="135">
        <v>253810.77</v>
      </c>
      <c r="G217" s="135"/>
      <c r="H217" s="135"/>
      <c r="I217" s="326"/>
    </row>
    <row r="218" spans="1:12" ht="30">
      <c r="A218" s="511" t="s">
        <v>168</v>
      </c>
      <c r="B218" s="2003"/>
      <c r="C218" s="358"/>
      <c r="D218" s="510">
        <v>111668.15</v>
      </c>
      <c r="E218" s="510">
        <v>219038.59</v>
      </c>
      <c r="F218" s="512">
        <v>246044.39</v>
      </c>
      <c r="G218" s="135"/>
      <c r="H218" s="135"/>
      <c r="I218" s="326"/>
    </row>
    <row r="219" spans="1:12" ht="15.75" thickBot="1">
      <c r="A219" s="513"/>
      <c r="B219" s="2004"/>
      <c r="C219" s="369" t="s">
        <v>13</v>
      </c>
      <c r="D219" s="1780">
        <f>D214+D215+D216+D217+D218</f>
        <v>481668.15</v>
      </c>
      <c r="E219" s="1780">
        <v>930817.96</v>
      </c>
      <c r="F219" s="333">
        <v>843422.77</v>
      </c>
      <c r="G219" s="333">
        <f t="shared" ref="G219:I219" si="24">SUM(G214:G218)</f>
        <v>0</v>
      </c>
      <c r="H219" s="333">
        <f t="shared" si="24"/>
        <v>0</v>
      </c>
      <c r="I219" s="333">
        <f t="shared" si="24"/>
        <v>0</v>
      </c>
    </row>
    <row r="223" spans="1:12">
      <c r="F223" s="514"/>
    </row>
    <row r="227" spans="1:1">
      <c r="A227" s="5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topLeftCell="D10" zoomScale="80" zoomScaleNormal="80" workbookViewId="0">
      <selection activeCell="F213" sqref="F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203</v>
      </c>
      <c r="C1" s="1944"/>
      <c r="D1" s="1944"/>
      <c r="E1" s="1944"/>
      <c r="F1" s="1944"/>
    </row>
    <row r="2" spans="1:25" s="1" customFormat="1" ht="20.100000000000001" customHeight="1" thickBot="1"/>
    <row r="3" spans="1:25" s="4" customFormat="1" ht="20.100000000000001" customHeight="1">
      <c r="A3" s="2" t="s">
        <v>2</v>
      </c>
      <c r="B3" s="3"/>
      <c r="C3" s="3"/>
      <c r="D3" s="3"/>
      <c r="E3" s="3"/>
      <c r="F3" s="1945"/>
      <c r="G3" s="1945"/>
      <c r="H3" s="1945"/>
      <c r="I3" s="1945"/>
      <c r="J3" s="1945"/>
      <c r="K3" s="1945"/>
      <c r="L3" s="1945"/>
      <c r="M3" s="1945"/>
      <c r="N3" s="1945"/>
      <c r="O3" s="1946"/>
    </row>
    <row r="4" spans="1:25" s="4" customFormat="1" ht="20.100000000000001" customHeight="1">
      <c r="A4" s="1947" t="s">
        <v>204</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8"/>
      <c r="B15" s="9"/>
      <c r="C15" s="10"/>
      <c r="D15" s="1953" t="s">
        <v>5</v>
      </c>
      <c r="E15" s="1954"/>
      <c r="F15" s="1954"/>
      <c r="G15" s="1954"/>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205</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16</v>
      </c>
      <c r="E18" s="38"/>
      <c r="F18" s="38"/>
      <c r="G18" s="32">
        <v>16</v>
      </c>
      <c r="H18" s="39"/>
      <c r="I18" s="38"/>
      <c r="J18" s="38"/>
      <c r="K18" s="38">
        <v>1</v>
      </c>
      <c r="L18" s="38"/>
      <c r="M18" s="38"/>
      <c r="N18" s="38"/>
      <c r="O18" s="40">
        <v>15</v>
      </c>
      <c r="P18" s="35"/>
      <c r="Q18" s="35"/>
      <c r="R18" s="35"/>
      <c r="S18" s="35"/>
      <c r="T18" s="35"/>
      <c r="U18" s="35"/>
      <c r="V18" s="35"/>
      <c r="W18" s="35"/>
      <c r="X18" s="35"/>
      <c r="Y18" s="35"/>
    </row>
    <row r="19" spans="1:25">
      <c r="A19" s="1854"/>
      <c r="B19" s="1855"/>
      <c r="C19" s="36">
        <v>2016</v>
      </c>
      <c r="D19" s="395">
        <v>40</v>
      </c>
      <c r="E19" s="339">
        <v>1</v>
      </c>
      <c r="F19" s="339"/>
      <c r="G19" s="32">
        <f t="shared" si="0"/>
        <v>41</v>
      </c>
      <c r="H19" s="349"/>
      <c r="I19" s="339">
        <v>2</v>
      </c>
      <c r="J19" s="339">
        <v>1</v>
      </c>
      <c r="K19" s="339">
        <v>2</v>
      </c>
      <c r="L19" s="339"/>
      <c r="M19" s="339"/>
      <c r="N19" s="339"/>
      <c r="O19" s="340">
        <v>36</v>
      </c>
      <c r="P19" s="35"/>
      <c r="Q19" s="35"/>
      <c r="R19" s="35"/>
      <c r="S19" s="35"/>
      <c r="T19" s="35"/>
      <c r="U19" s="35"/>
      <c r="V19" s="35"/>
      <c r="W19" s="35"/>
      <c r="X19" s="35"/>
      <c r="Y19" s="35"/>
    </row>
    <row r="20" spans="1:25">
      <c r="A20" s="1854"/>
      <c r="B20" s="1855"/>
      <c r="C20" s="36">
        <v>2017</v>
      </c>
      <c r="D20" s="395">
        <v>34</v>
      </c>
      <c r="E20" s="38">
        <v>3</v>
      </c>
      <c r="F20" s="38"/>
      <c r="G20" s="32">
        <f t="shared" si="0"/>
        <v>37</v>
      </c>
      <c r="H20" s="39">
        <v>1</v>
      </c>
      <c r="I20" s="38"/>
      <c r="J20" s="38"/>
      <c r="K20" s="38">
        <v>2</v>
      </c>
      <c r="L20" s="38"/>
      <c r="M20" s="38"/>
      <c r="N20" s="38"/>
      <c r="O20" s="40">
        <v>34</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05.75" customHeight="1" thickBot="1">
      <c r="A24" s="1856"/>
      <c r="B24" s="1857"/>
      <c r="C24" s="42" t="s">
        <v>13</v>
      </c>
      <c r="D24" s="43">
        <f>SUM(D18:D23)</f>
        <v>90</v>
      </c>
      <c r="E24" s="44">
        <f>SUM(E17:E23)</f>
        <v>4</v>
      </c>
      <c r="F24" s="44">
        <f>SUM(F17:F23)</f>
        <v>0</v>
      </c>
      <c r="G24" s="45">
        <f>SUM(D24:F24)</f>
        <v>94</v>
      </c>
      <c r="H24" s="46">
        <f>SUM(H17:H23)</f>
        <v>1</v>
      </c>
      <c r="I24" s="47">
        <f>SUM(I17:I23)</f>
        <v>2</v>
      </c>
      <c r="J24" s="47">
        <f t="shared" ref="J24:N24" si="1">SUM(J17:J23)</f>
        <v>1</v>
      </c>
      <c r="K24" s="47">
        <f t="shared" si="1"/>
        <v>5</v>
      </c>
      <c r="L24" s="47">
        <f t="shared" si="1"/>
        <v>0</v>
      </c>
      <c r="M24" s="47">
        <f t="shared" si="1"/>
        <v>0</v>
      </c>
      <c r="N24" s="47">
        <f t="shared" si="1"/>
        <v>0</v>
      </c>
      <c r="O24" s="48">
        <f>SUM(O17:O23)</f>
        <v>85</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8"/>
      <c r="B26" s="9"/>
      <c r="C26" s="50"/>
      <c r="D26" s="1959" t="s">
        <v>5</v>
      </c>
      <c r="E26" s="1960"/>
      <c r="F26" s="1960"/>
      <c r="G26" s="1961"/>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206</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39">
        <v>5450</v>
      </c>
      <c r="E29" s="38"/>
      <c r="F29" s="38"/>
      <c r="G29" s="58">
        <v>5450</v>
      </c>
      <c r="H29" s="35"/>
      <c r="I29" s="35"/>
      <c r="J29" s="35"/>
      <c r="K29" s="35"/>
      <c r="L29" s="35"/>
      <c r="M29" s="35"/>
      <c r="N29" s="35"/>
      <c r="O29" s="35"/>
      <c r="P29" s="35"/>
      <c r="Q29" s="7"/>
    </row>
    <row r="30" spans="1:25">
      <c r="A30" s="1854"/>
      <c r="B30" s="1855"/>
      <c r="C30" s="59">
        <v>2016</v>
      </c>
      <c r="D30" s="349">
        <v>14345</v>
      </c>
      <c r="E30" s="339">
        <v>20040</v>
      </c>
      <c r="F30" s="339"/>
      <c r="G30" s="58">
        <f t="shared" ref="G30:G35" si="2">SUM(D30:F30)</f>
        <v>34385</v>
      </c>
      <c r="H30" s="35"/>
      <c r="I30" s="35"/>
      <c r="J30" s="35"/>
      <c r="K30" s="35"/>
      <c r="L30" s="35"/>
      <c r="M30" s="35"/>
      <c r="N30" s="35"/>
      <c r="O30" s="35"/>
      <c r="P30" s="35"/>
      <c r="Q30" s="7"/>
    </row>
    <row r="31" spans="1:25">
      <c r="A31" s="1854"/>
      <c r="B31" s="1855"/>
      <c r="C31" s="59">
        <v>2017</v>
      </c>
      <c r="D31" s="349">
        <v>10685</v>
      </c>
      <c r="E31" s="38">
        <v>25920</v>
      </c>
      <c r="F31" s="38"/>
      <c r="G31" s="58">
        <f t="shared" si="2"/>
        <v>36605</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20.25" customHeight="1" thickBot="1">
      <c r="A35" s="1856"/>
      <c r="B35" s="1857"/>
      <c r="C35" s="61" t="s">
        <v>13</v>
      </c>
      <c r="D35" s="46">
        <f>SUM(D28:D34)</f>
        <v>30480</v>
      </c>
      <c r="E35" s="44">
        <f>SUM(E28:E34)</f>
        <v>45960</v>
      </c>
      <c r="F35" s="44">
        <f>SUM(F28:F34)</f>
        <v>0</v>
      </c>
      <c r="G35" s="48">
        <f t="shared" si="2"/>
        <v>76440</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66" t="s">
        <v>26</v>
      </c>
      <c r="B39" s="372"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48116</v>
      </c>
      <c r="E41" s="36">
        <v>31649</v>
      </c>
      <c r="F41" s="7"/>
      <c r="G41" s="35"/>
      <c r="H41" s="35"/>
    </row>
    <row r="42" spans="1:17">
      <c r="A42" s="1854"/>
      <c r="B42" s="1855"/>
      <c r="C42" s="73">
        <v>2016</v>
      </c>
      <c r="D42" s="395">
        <v>66322</v>
      </c>
      <c r="E42" s="454">
        <v>29167</v>
      </c>
      <c r="F42" s="7"/>
      <c r="G42" s="35"/>
      <c r="H42" s="35"/>
    </row>
    <row r="43" spans="1:17">
      <c r="A43" s="1854"/>
      <c r="B43" s="1855"/>
      <c r="C43" s="73">
        <v>2017</v>
      </c>
      <c r="D43" s="37">
        <v>133681</v>
      </c>
      <c r="E43" s="36">
        <v>56412</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248119</v>
      </c>
      <c r="E47" s="455">
        <f>SUM(E40:E46)</f>
        <v>117228</v>
      </c>
      <c r="F47" s="78"/>
      <c r="G47" s="35"/>
      <c r="H47" s="35"/>
    </row>
    <row r="48" spans="1:17" s="35" customFormat="1" ht="15.75" thickBot="1">
      <c r="A48" s="79"/>
      <c r="B48" s="80"/>
      <c r="C48" s="81"/>
    </row>
    <row r="49" spans="1:15" ht="83.25" customHeight="1">
      <c r="A49" s="82" t="s">
        <v>32</v>
      </c>
      <c r="B49" s="372"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1969" t="s">
        <v>44</v>
      </c>
      <c r="B60" s="95"/>
      <c r="C60" s="1971" t="s">
        <v>9</v>
      </c>
      <c r="D60" s="1941" t="s">
        <v>45</v>
      </c>
      <c r="E60" s="96" t="s">
        <v>6</v>
      </c>
      <c r="F60" s="97"/>
      <c r="G60" s="97"/>
      <c r="H60" s="97"/>
      <c r="I60" s="97"/>
      <c r="J60" s="97"/>
      <c r="K60" s="97"/>
      <c r="L60" s="98"/>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933" t="s">
        <v>207</v>
      </c>
      <c r="B62" s="2025"/>
      <c r="C62" s="106">
        <v>2014</v>
      </c>
      <c r="D62" s="107"/>
      <c r="E62" s="108"/>
      <c r="F62" s="109"/>
      <c r="G62" s="109"/>
      <c r="H62" s="109"/>
      <c r="I62" s="109"/>
      <c r="J62" s="109"/>
      <c r="K62" s="109"/>
      <c r="L62" s="34"/>
      <c r="M62" s="7"/>
      <c r="N62" s="7"/>
      <c r="O62" s="7"/>
    </row>
    <row r="63" spans="1:15">
      <c r="A63" s="2024"/>
      <c r="B63" s="2025"/>
      <c r="C63" s="110">
        <v>2015</v>
      </c>
      <c r="D63" s="111"/>
      <c r="E63" s="112"/>
      <c r="F63" s="38"/>
      <c r="G63" s="38"/>
      <c r="H63" s="38"/>
      <c r="I63" s="38"/>
      <c r="J63" s="38"/>
      <c r="K63" s="38"/>
      <c r="L63" s="88"/>
      <c r="M63" s="7"/>
      <c r="N63" s="7"/>
      <c r="O63" s="7"/>
    </row>
    <row r="64" spans="1:15">
      <c r="A64" s="2024"/>
      <c r="B64" s="2025"/>
      <c r="C64" s="110">
        <v>2016</v>
      </c>
      <c r="D64" s="456">
        <v>12</v>
      </c>
      <c r="E64" s="457"/>
      <c r="F64" s="339">
        <v>2</v>
      </c>
      <c r="G64" s="339"/>
      <c r="H64" s="339"/>
      <c r="I64" s="339"/>
      <c r="J64" s="339"/>
      <c r="K64" s="339"/>
      <c r="L64" s="340">
        <v>10</v>
      </c>
      <c r="M64" s="7"/>
      <c r="N64" s="7"/>
      <c r="O64" s="7"/>
    </row>
    <row r="65" spans="1:20">
      <c r="A65" s="2024"/>
      <c r="B65" s="2025"/>
      <c r="C65" s="110">
        <v>2017</v>
      </c>
      <c r="D65" s="111">
        <v>10</v>
      </c>
      <c r="E65" s="112"/>
      <c r="F65" s="38"/>
      <c r="G65" s="38"/>
      <c r="H65" s="38"/>
      <c r="I65" s="38"/>
      <c r="J65" s="38"/>
      <c r="K65" s="38"/>
      <c r="L65" s="88">
        <v>10</v>
      </c>
      <c r="M65" s="7"/>
      <c r="N65" s="7"/>
      <c r="O65" s="7"/>
    </row>
    <row r="66" spans="1:20">
      <c r="A66" s="2024"/>
      <c r="B66" s="2025"/>
      <c r="C66" s="110">
        <v>2018</v>
      </c>
      <c r="D66" s="111"/>
      <c r="E66" s="112"/>
      <c r="F66" s="38"/>
      <c r="G66" s="38"/>
      <c r="H66" s="38"/>
      <c r="I66" s="38"/>
      <c r="J66" s="38"/>
      <c r="K66" s="38"/>
      <c r="L66" s="88"/>
      <c r="M66" s="7"/>
      <c r="N66" s="7"/>
      <c r="O66" s="7"/>
    </row>
    <row r="67" spans="1:20" ht="17.25" customHeight="1">
      <c r="A67" s="2024"/>
      <c r="B67" s="2025"/>
      <c r="C67" s="110">
        <v>2019</v>
      </c>
      <c r="D67" s="111"/>
      <c r="E67" s="112"/>
      <c r="F67" s="38"/>
      <c r="G67" s="38"/>
      <c r="H67" s="38"/>
      <c r="I67" s="38"/>
      <c r="J67" s="38"/>
      <c r="K67" s="38"/>
      <c r="L67" s="88"/>
      <c r="M67" s="7"/>
      <c r="N67" s="7"/>
      <c r="O67" s="7"/>
    </row>
    <row r="68" spans="1:20" ht="16.5" customHeight="1">
      <c r="A68" s="2024"/>
      <c r="B68" s="2025"/>
      <c r="C68" s="110">
        <v>2020</v>
      </c>
      <c r="D68" s="111"/>
      <c r="E68" s="112"/>
      <c r="F68" s="38"/>
      <c r="G68" s="38"/>
      <c r="H68" s="38"/>
      <c r="I68" s="38"/>
      <c r="J68" s="38"/>
      <c r="K68" s="38"/>
      <c r="L68" s="88"/>
      <c r="M68" s="78"/>
      <c r="N68" s="78"/>
      <c r="O68" s="78"/>
    </row>
    <row r="69" spans="1:20" ht="18" customHeight="1" thickBot="1">
      <c r="A69" s="2028"/>
      <c r="B69" s="2027"/>
      <c r="C69" s="113" t="s">
        <v>13</v>
      </c>
      <c r="D69" s="114">
        <f>SUM(D62:D68)</f>
        <v>22</v>
      </c>
      <c r="E69" s="115">
        <f>SUM(E62:E68)</f>
        <v>0</v>
      </c>
      <c r="F69" s="116">
        <f t="shared" ref="F69:I69" si="4">SUM(F62:F68)</f>
        <v>2</v>
      </c>
      <c r="G69" s="116">
        <f t="shared" si="4"/>
        <v>0</v>
      </c>
      <c r="H69" s="116">
        <f t="shared" si="4"/>
        <v>0</v>
      </c>
      <c r="I69" s="116">
        <f t="shared" si="4"/>
        <v>0</v>
      </c>
      <c r="J69" s="116"/>
      <c r="K69" s="116">
        <f>SUM(K62:K68)</f>
        <v>0</v>
      </c>
      <c r="L69" s="117">
        <f>SUM(L62:L68)</f>
        <v>20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66" t="s">
        <v>47</v>
      </c>
      <c r="B71" s="372"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029" t="s">
        <v>208</v>
      </c>
      <c r="B72" s="2025"/>
      <c r="C72" s="72">
        <v>2014</v>
      </c>
      <c r="D72" s="131"/>
      <c r="E72" s="131"/>
      <c r="F72" s="131"/>
      <c r="G72" s="132">
        <f>SUM(D72:F72)</f>
        <v>0</v>
      </c>
      <c r="H72" s="30"/>
      <c r="I72" s="133"/>
      <c r="J72" s="109"/>
      <c r="K72" s="109"/>
      <c r="L72" s="109"/>
      <c r="M72" s="109"/>
      <c r="N72" s="109"/>
      <c r="O72" s="134"/>
    </row>
    <row r="73" spans="1:20">
      <c r="A73" s="2030"/>
      <c r="B73" s="2025"/>
      <c r="C73" s="73">
        <v>2015</v>
      </c>
      <c r="D73" s="458"/>
      <c r="E73" s="458"/>
      <c r="F73" s="458">
        <v>6</v>
      </c>
      <c r="G73" s="132">
        <v>6</v>
      </c>
      <c r="H73" s="37"/>
      <c r="I73" s="37"/>
      <c r="J73" s="38"/>
      <c r="K73" s="38"/>
      <c r="L73" s="38"/>
      <c r="M73" s="38"/>
      <c r="N73" s="38"/>
      <c r="O73" s="88">
        <v>6</v>
      </c>
    </row>
    <row r="74" spans="1:20">
      <c r="A74" s="2030"/>
      <c r="B74" s="2025"/>
      <c r="C74" s="73">
        <v>2016</v>
      </c>
      <c r="D74" s="459">
        <v>1</v>
      </c>
      <c r="E74" s="459">
        <v>7</v>
      </c>
      <c r="F74" s="459">
        <v>2</v>
      </c>
      <c r="G74" s="132">
        <f t="shared" ref="G74:G78" si="5">SUM(D74:F74)</f>
        <v>10</v>
      </c>
      <c r="H74" s="460"/>
      <c r="I74" s="460">
        <v>4</v>
      </c>
      <c r="J74" s="342">
        <v>4</v>
      </c>
      <c r="K74" s="342"/>
      <c r="L74" s="342"/>
      <c r="M74" s="342"/>
      <c r="N74" s="342"/>
      <c r="O74" s="343">
        <v>2</v>
      </c>
    </row>
    <row r="75" spans="1:20">
      <c r="A75" s="2030"/>
      <c r="B75" s="2025"/>
      <c r="C75" s="73">
        <v>2017</v>
      </c>
      <c r="D75" s="135"/>
      <c r="E75" s="135">
        <v>5</v>
      </c>
      <c r="F75" s="135"/>
      <c r="G75" s="132">
        <f t="shared" si="5"/>
        <v>5</v>
      </c>
      <c r="H75" s="37">
        <v>4</v>
      </c>
      <c r="I75" s="37"/>
      <c r="J75" s="38"/>
      <c r="K75" s="38">
        <v>1</v>
      </c>
      <c r="L75" s="38"/>
      <c r="M75" s="38"/>
      <c r="N75" s="38"/>
      <c r="O75" s="88"/>
    </row>
    <row r="76" spans="1:20">
      <c r="A76" s="2030"/>
      <c r="B76" s="2025"/>
      <c r="C76" s="73">
        <v>2018</v>
      </c>
      <c r="D76" s="135"/>
      <c r="E76" s="135"/>
      <c r="F76" s="135"/>
      <c r="G76" s="132">
        <f t="shared" si="5"/>
        <v>0</v>
      </c>
      <c r="H76" s="37"/>
      <c r="I76" s="37"/>
      <c r="J76" s="38"/>
      <c r="K76" s="38"/>
      <c r="L76" s="38"/>
      <c r="M76" s="38"/>
      <c r="N76" s="38"/>
      <c r="O76" s="88"/>
    </row>
    <row r="77" spans="1:20" ht="15.75" customHeight="1">
      <c r="A77" s="2030"/>
      <c r="B77" s="2025"/>
      <c r="C77" s="73">
        <v>2019</v>
      </c>
      <c r="D77" s="135"/>
      <c r="E77" s="135"/>
      <c r="F77" s="135"/>
      <c r="G77" s="132">
        <f t="shared" si="5"/>
        <v>0</v>
      </c>
      <c r="H77" s="37"/>
      <c r="I77" s="37"/>
      <c r="J77" s="38"/>
      <c r="K77" s="38"/>
      <c r="L77" s="38"/>
      <c r="M77" s="38"/>
      <c r="N77" s="38"/>
      <c r="O77" s="88"/>
    </row>
    <row r="78" spans="1:20" ht="17.25" customHeight="1">
      <c r="A78" s="2030"/>
      <c r="B78" s="2025"/>
      <c r="C78" s="73">
        <v>2020</v>
      </c>
      <c r="D78" s="135"/>
      <c r="E78" s="135"/>
      <c r="F78" s="135"/>
      <c r="G78" s="132">
        <f t="shared" si="5"/>
        <v>0</v>
      </c>
      <c r="H78" s="37"/>
      <c r="I78" s="37"/>
      <c r="J78" s="38"/>
      <c r="K78" s="38"/>
      <c r="L78" s="38"/>
      <c r="M78" s="38"/>
      <c r="N78" s="38"/>
      <c r="O78" s="88"/>
    </row>
    <row r="79" spans="1:20" ht="20.25" customHeight="1" thickBot="1">
      <c r="A79" s="2028"/>
      <c r="B79" s="2027"/>
      <c r="C79" s="136" t="s">
        <v>13</v>
      </c>
      <c r="D79" s="114">
        <f>SUM(D72:D78)</f>
        <v>1</v>
      </c>
      <c r="E79" s="114">
        <f>SUM(E72:E78)</f>
        <v>12</v>
      </c>
      <c r="F79" s="114">
        <f>SUM(F72:F78)</f>
        <v>8</v>
      </c>
      <c r="G79" s="137">
        <f>SUM(G72:G78)</f>
        <v>21</v>
      </c>
      <c r="H79" s="138">
        <v>0</v>
      </c>
      <c r="I79" s="139">
        <f t="shared" ref="I79:O79" si="6">SUM(I72:I78)</f>
        <v>4</v>
      </c>
      <c r="J79" s="116">
        <f t="shared" si="6"/>
        <v>4</v>
      </c>
      <c r="K79" s="116">
        <f t="shared" si="6"/>
        <v>1</v>
      </c>
      <c r="L79" s="116">
        <f t="shared" si="6"/>
        <v>0</v>
      </c>
      <c r="M79" s="116">
        <f t="shared" si="6"/>
        <v>0</v>
      </c>
      <c r="N79" s="116">
        <f t="shared" si="6"/>
        <v>0</v>
      </c>
      <c r="O79" s="117">
        <f t="shared" si="6"/>
        <v>8</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147" t="s">
        <v>56</v>
      </c>
      <c r="B84" s="394"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156"/>
      <c r="E87" s="112"/>
      <c r="F87" s="38"/>
      <c r="G87" s="38"/>
      <c r="H87" s="38"/>
      <c r="I87" s="38"/>
      <c r="J87" s="38"/>
      <c r="K87" s="88"/>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1909" t="s">
        <v>68</v>
      </c>
      <c r="B96" s="1911" t="s">
        <v>179</v>
      </c>
      <c r="C96" s="1924" t="s">
        <v>9</v>
      </c>
      <c r="D96" s="1916" t="s">
        <v>70</v>
      </c>
      <c r="E96" s="1917"/>
      <c r="F96" s="162" t="s">
        <v>71</v>
      </c>
      <c r="G96" s="163"/>
      <c r="H96" s="163"/>
      <c r="I96" s="163"/>
      <c r="J96" s="163"/>
      <c r="K96" s="163"/>
      <c r="L96" s="163"/>
      <c r="M96" s="164"/>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209</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1</v>
      </c>
      <c r="F99" s="177"/>
      <c r="G99" s="178"/>
      <c r="H99" s="178"/>
      <c r="I99" s="178"/>
      <c r="J99" s="178"/>
      <c r="K99" s="178"/>
      <c r="L99" s="178"/>
      <c r="M99" s="179">
        <v>1</v>
      </c>
      <c r="N99" s="165"/>
      <c r="O99" s="165"/>
      <c r="P99" s="165"/>
    </row>
    <row r="100" spans="1:16" ht="16.5" customHeight="1">
      <c r="A100" s="1891"/>
      <c r="B100" s="1899"/>
      <c r="C100" s="110">
        <v>2016</v>
      </c>
      <c r="D100" s="37">
        <v>1</v>
      </c>
      <c r="E100" s="38">
        <v>6</v>
      </c>
      <c r="F100" s="177"/>
      <c r="G100" s="178"/>
      <c r="H100" s="178"/>
      <c r="I100" s="178"/>
      <c r="J100" s="178"/>
      <c r="K100" s="178"/>
      <c r="L100" s="178"/>
      <c r="M100" s="179">
        <v>1</v>
      </c>
      <c r="N100" s="165"/>
      <c r="O100" s="165"/>
      <c r="P100" s="165"/>
    </row>
    <row r="101" spans="1:16" ht="16.5" customHeight="1">
      <c r="A101" s="1891"/>
      <c r="B101" s="1899"/>
      <c r="C101" s="110">
        <v>2017</v>
      </c>
      <c r="D101" s="37">
        <v>1</v>
      </c>
      <c r="E101" s="38">
        <v>7</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14</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1909" t="s">
        <v>77</v>
      </c>
      <c r="B107" s="1911" t="s">
        <v>179</v>
      </c>
      <c r="C107" s="1924" t="s">
        <v>9</v>
      </c>
      <c r="D107" s="1926" t="s">
        <v>78</v>
      </c>
      <c r="E107" s="162" t="s">
        <v>79</v>
      </c>
      <c r="F107" s="163"/>
      <c r="G107" s="163"/>
      <c r="H107" s="163"/>
      <c r="I107" s="163"/>
      <c r="J107" s="163"/>
      <c r="K107" s="163"/>
      <c r="L107" s="164"/>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c r="E111" s="177"/>
      <c r="F111" s="178"/>
      <c r="G111" s="178"/>
      <c r="H111" s="178"/>
      <c r="I111" s="178"/>
      <c r="J111" s="178"/>
      <c r="K111" s="1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1909" t="s">
        <v>81</v>
      </c>
      <c r="B118" s="1911" t="s">
        <v>179</v>
      </c>
      <c r="C118" s="1924" t="s">
        <v>9</v>
      </c>
      <c r="D118" s="1926" t="s">
        <v>82</v>
      </c>
      <c r="E118" s="162" t="s">
        <v>79</v>
      </c>
      <c r="F118" s="163"/>
      <c r="G118" s="163"/>
      <c r="H118" s="163"/>
      <c r="I118" s="163"/>
      <c r="J118" s="163"/>
      <c r="K118" s="163"/>
      <c r="L118" s="164"/>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1909" t="s">
        <v>84</v>
      </c>
      <c r="B129" s="1911" t="s">
        <v>179</v>
      </c>
      <c r="C129" s="188" t="s">
        <v>9</v>
      </c>
      <c r="D129" s="189" t="s">
        <v>85</v>
      </c>
      <c r="E129" s="190"/>
      <c r="F129" s="190"/>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t="s">
        <v>210</v>
      </c>
      <c r="B131" s="1855"/>
      <c r="C131" s="106">
        <v>2015</v>
      </c>
      <c r="D131" s="30">
        <v>16</v>
      </c>
      <c r="E131" s="31"/>
      <c r="F131" s="31"/>
      <c r="G131" s="195">
        <v>16</v>
      </c>
      <c r="H131" s="185"/>
      <c r="I131" s="185"/>
      <c r="J131" s="185"/>
      <c r="K131" s="185"/>
      <c r="L131" s="185"/>
      <c r="M131" s="185"/>
      <c r="N131" s="185"/>
    </row>
    <row r="132" spans="1:16">
      <c r="A132" s="1854"/>
      <c r="B132" s="1855"/>
      <c r="C132" s="110">
        <v>2016</v>
      </c>
      <c r="D132" s="37">
        <v>78</v>
      </c>
      <c r="E132" s="38"/>
      <c r="F132" s="38"/>
      <c r="G132" s="195">
        <f t="shared" ref="G132:G136" si="11">SUM(D132:F132)</f>
        <v>78</v>
      </c>
      <c r="H132" s="185"/>
      <c r="I132" s="185"/>
      <c r="J132" s="185"/>
      <c r="K132" s="185"/>
      <c r="L132" s="185"/>
      <c r="M132" s="185"/>
      <c r="N132" s="185"/>
    </row>
    <row r="133" spans="1:16">
      <c r="A133" s="1854"/>
      <c r="B133" s="1855"/>
      <c r="C133" s="110">
        <v>2017</v>
      </c>
      <c r="D133" s="37">
        <v>88</v>
      </c>
      <c r="E133" s="38"/>
      <c r="F133" s="38"/>
      <c r="G133" s="195">
        <v>88</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182</v>
      </c>
      <c r="E137" s="139">
        <f t="shared" ref="E137:F137" si="12">SUM(E131:E136)</f>
        <v>0</v>
      </c>
      <c r="F137" s="139">
        <f t="shared" si="12"/>
        <v>0</v>
      </c>
      <c r="G137" s="196">
        <f>SUM(G131:G136)</f>
        <v>182</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1913" t="s">
        <v>91</v>
      </c>
      <c r="B142" s="1903" t="s">
        <v>179</v>
      </c>
      <c r="C142" s="1907" t="s">
        <v>9</v>
      </c>
      <c r="D142" s="203" t="s">
        <v>92</v>
      </c>
      <c r="E142" s="204"/>
      <c r="F142" s="204"/>
      <c r="G142" s="204"/>
      <c r="H142" s="204"/>
      <c r="I142" s="205"/>
      <c r="J142" s="1895" t="s">
        <v>93</v>
      </c>
      <c r="K142" s="1896"/>
      <c r="L142" s="1896"/>
      <c r="M142" s="1896"/>
      <c r="N142" s="1897"/>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1901" t="s">
        <v>105</v>
      </c>
      <c r="B153" s="1903" t="s">
        <v>179</v>
      </c>
      <c r="C153" s="1905" t="s">
        <v>9</v>
      </c>
      <c r="D153" s="225" t="s">
        <v>106</v>
      </c>
      <c r="E153" s="225"/>
      <c r="F153" s="226"/>
      <c r="G153" s="226"/>
      <c r="H153" s="225" t="s">
        <v>107</v>
      </c>
      <c r="I153" s="225"/>
      <c r="J153" s="227"/>
      <c r="K153" s="56"/>
      <c r="L153" s="56"/>
      <c r="M153" s="56"/>
      <c r="N153" s="56"/>
      <c r="O153" s="165"/>
      <c r="P153" s="165"/>
    </row>
    <row r="154" spans="1:16" ht="49.5" customHeight="1">
      <c r="A154" s="1902"/>
      <c r="B154" s="1904"/>
      <c r="C154" s="1906"/>
      <c r="D154" s="228" t="s">
        <v>211</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240"/>
      <c r="F163" s="165"/>
      <c r="G163" s="165"/>
      <c r="H163" s="165"/>
      <c r="I163" s="165"/>
      <c r="J163" s="241"/>
      <c r="K163" s="242"/>
    </row>
    <row r="164" spans="1:18" ht="95.25" customHeight="1">
      <c r="A164" s="243" t="s">
        <v>115</v>
      </c>
      <c r="B164" s="405" t="s">
        <v>181</v>
      </c>
      <c r="C164" s="245" t="s">
        <v>9</v>
      </c>
      <c r="D164" s="246" t="s">
        <v>117</v>
      </c>
      <c r="E164" s="246" t="s">
        <v>118</v>
      </c>
      <c r="F164" s="247"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1884" t="s">
        <v>127</v>
      </c>
      <c r="B176" s="1863" t="s">
        <v>182</v>
      </c>
      <c r="C176" s="1886" t="s">
        <v>9</v>
      </c>
      <c r="D176" s="273" t="s">
        <v>128</v>
      </c>
      <c r="E176" s="274"/>
      <c r="F176" s="274"/>
      <c r="G176" s="275"/>
      <c r="H176" s="276"/>
      <c r="I176" s="1888" t="s">
        <v>129</v>
      </c>
      <c r="J176" s="1889"/>
      <c r="K176" s="1889"/>
      <c r="L176" s="1889"/>
      <c r="M176" s="1889"/>
      <c r="N176" s="1889"/>
      <c r="O176" s="1890"/>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2024" t="s">
        <v>212</v>
      </c>
      <c r="B178" s="2025"/>
      <c r="C178" s="106">
        <v>2014</v>
      </c>
      <c r="D178" s="30"/>
      <c r="E178" s="31"/>
      <c r="F178" s="31"/>
      <c r="G178" s="284">
        <f>SUM(D178:F178)</f>
        <v>0</v>
      </c>
      <c r="H178" s="155"/>
      <c r="I178" s="155"/>
      <c r="J178" s="31"/>
      <c r="K178" s="31"/>
      <c r="L178" s="31"/>
      <c r="M178" s="31"/>
      <c r="N178" s="31"/>
      <c r="O178" s="34"/>
    </row>
    <row r="179" spans="1:15">
      <c r="A179" s="2024"/>
      <c r="B179" s="2025"/>
      <c r="C179" s="110">
        <v>2015</v>
      </c>
      <c r="D179" s="37"/>
      <c r="E179" s="38"/>
      <c r="F179" s="38"/>
      <c r="G179" s="284">
        <f t="shared" ref="G179:G184" si="19">SUM(D179:F179)</f>
        <v>0</v>
      </c>
      <c r="H179" s="411"/>
      <c r="I179" s="112"/>
      <c r="J179" s="38"/>
      <c r="K179" s="38"/>
      <c r="L179" s="38"/>
      <c r="M179" s="38"/>
      <c r="N179" s="38"/>
      <c r="O179" s="88"/>
    </row>
    <row r="180" spans="1:15">
      <c r="A180" s="2024"/>
      <c r="B180" s="2025"/>
      <c r="C180" s="110">
        <v>2016</v>
      </c>
      <c r="D180" s="37">
        <v>10</v>
      </c>
      <c r="E180" s="38">
        <v>1</v>
      </c>
      <c r="F180" s="38">
        <v>0</v>
      </c>
      <c r="G180" s="284">
        <f t="shared" si="19"/>
        <v>11</v>
      </c>
      <c r="H180" s="411">
        <v>23</v>
      </c>
      <c r="I180" s="112"/>
      <c r="J180" s="38"/>
      <c r="K180" s="38">
        <v>2</v>
      </c>
      <c r="L180" s="38">
        <v>6</v>
      </c>
      <c r="M180" s="38"/>
      <c r="N180" s="38"/>
      <c r="O180" s="88">
        <v>3</v>
      </c>
    </row>
    <row r="181" spans="1:15">
      <c r="A181" s="2024"/>
      <c r="B181" s="2025"/>
      <c r="C181" s="110">
        <v>2017</v>
      </c>
      <c r="D181" s="37">
        <v>31</v>
      </c>
      <c r="E181" s="38">
        <v>2</v>
      </c>
      <c r="F181" s="38"/>
      <c r="G181" s="284">
        <f t="shared" si="19"/>
        <v>33</v>
      </c>
      <c r="H181" s="411"/>
      <c r="I181" s="112">
        <v>6</v>
      </c>
      <c r="J181" s="38"/>
      <c r="K181" s="38"/>
      <c r="L181" s="38">
        <v>13</v>
      </c>
      <c r="M181" s="38"/>
      <c r="N181" s="38"/>
      <c r="O181" s="88">
        <v>14</v>
      </c>
    </row>
    <row r="182" spans="1:15">
      <c r="A182" s="2024"/>
      <c r="B182" s="2025"/>
      <c r="C182" s="110">
        <v>2018</v>
      </c>
      <c r="D182" s="37"/>
      <c r="E182" s="38"/>
      <c r="F182" s="38"/>
      <c r="G182" s="284">
        <f t="shared" si="19"/>
        <v>0</v>
      </c>
      <c r="H182" s="411"/>
      <c r="I182" s="112"/>
      <c r="J182" s="38"/>
      <c r="K182" s="38"/>
      <c r="L182" s="38"/>
      <c r="M182" s="38"/>
      <c r="N182" s="38"/>
      <c r="O182" s="88"/>
    </row>
    <row r="183" spans="1:15">
      <c r="A183" s="2024"/>
      <c r="B183" s="2025"/>
      <c r="C183" s="110">
        <v>2019</v>
      </c>
      <c r="D183" s="37"/>
      <c r="E183" s="38"/>
      <c r="F183" s="38"/>
      <c r="G183" s="284">
        <f t="shared" si="19"/>
        <v>0</v>
      </c>
      <c r="H183" s="411"/>
      <c r="I183" s="112"/>
      <c r="J183" s="38"/>
      <c r="K183" s="38"/>
      <c r="L183" s="38"/>
      <c r="M183" s="38"/>
      <c r="N183" s="38"/>
      <c r="O183" s="88"/>
    </row>
    <row r="184" spans="1:15">
      <c r="A184" s="2024"/>
      <c r="B184" s="2025"/>
      <c r="C184" s="110">
        <v>2020</v>
      </c>
      <c r="D184" s="37"/>
      <c r="E184" s="38"/>
      <c r="F184" s="38"/>
      <c r="G184" s="284">
        <f t="shared" si="19"/>
        <v>0</v>
      </c>
      <c r="H184" s="411"/>
      <c r="I184" s="112"/>
      <c r="J184" s="38"/>
      <c r="K184" s="38"/>
      <c r="L184" s="38"/>
      <c r="M184" s="38"/>
      <c r="N184" s="38"/>
      <c r="O184" s="88"/>
    </row>
    <row r="185" spans="1:15" ht="45" customHeight="1" thickBot="1">
      <c r="A185" s="2026"/>
      <c r="B185" s="2027"/>
      <c r="C185" s="113" t="s">
        <v>13</v>
      </c>
      <c r="D185" s="139">
        <f>SUM(D178:D184)</f>
        <v>41</v>
      </c>
      <c r="E185" s="116">
        <f>SUM(E178:E184)</f>
        <v>3</v>
      </c>
      <c r="F185" s="116">
        <f>SUM(F178:F184)</f>
        <v>0</v>
      </c>
      <c r="G185" s="220">
        <f t="shared" ref="G185:O185" si="20">SUM(G178:G184)</f>
        <v>44</v>
      </c>
      <c r="H185" s="285">
        <f t="shared" si="20"/>
        <v>23</v>
      </c>
      <c r="I185" s="115">
        <f t="shared" si="20"/>
        <v>6</v>
      </c>
      <c r="J185" s="116">
        <f t="shared" si="20"/>
        <v>0</v>
      </c>
      <c r="K185" s="116">
        <f t="shared" si="20"/>
        <v>2</v>
      </c>
      <c r="L185" s="116">
        <f t="shared" si="20"/>
        <v>19</v>
      </c>
      <c r="M185" s="116">
        <f t="shared" si="20"/>
        <v>0</v>
      </c>
      <c r="N185" s="116">
        <f t="shared" si="20"/>
        <v>0</v>
      </c>
      <c r="O185" s="117">
        <f t="shared" si="20"/>
        <v>17</v>
      </c>
    </row>
    <row r="186" spans="1:15" ht="33" customHeight="1" thickBot="1"/>
    <row r="187" spans="1:15" ht="19.5" customHeight="1">
      <c r="A187" s="1861" t="s">
        <v>137</v>
      </c>
      <c r="B187" s="1863" t="s">
        <v>182</v>
      </c>
      <c r="C187" s="1865" t="s">
        <v>9</v>
      </c>
      <c r="D187" s="1867" t="s">
        <v>138</v>
      </c>
      <c r="E187" s="1868"/>
      <c r="F187" s="186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2018" t="s">
        <v>213</v>
      </c>
      <c r="B189" s="2019"/>
      <c r="C189" s="290">
        <v>2014</v>
      </c>
      <c r="D189" s="133"/>
      <c r="E189" s="109"/>
      <c r="F189" s="109"/>
      <c r="G189" s="291">
        <f>SUM(D189:F189)</f>
        <v>0</v>
      </c>
      <c r="H189" s="108"/>
      <c r="I189" s="109"/>
      <c r="J189" s="109"/>
      <c r="K189" s="109"/>
      <c r="L189" s="134"/>
    </row>
    <row r="190" spans="1:15">
      <c r="A190" s="2020"/>
      <c r="B190" s="2021"/>
      <c r="C190" s="73">
        <v>2015</v>
      </c>
      <c r="D190" s="37"/>
      <c r="E190" s="38"/>
      <c r="F190" s="38"/>
      <c r="G190" s="291">
        <f t="shared" ref="G190:G195" si="21">SUM(D190:F190)</f>
        <v>0</v>
      </c>
      <c r="H190" s="112"/>
      <c r="I190" s="38"/>
      <c r="J190" s="38"/>
      <c r="K190" s="38"/>
      <c r="L190" s="88"/>
    </row>
    <row r="191" spans="1:15">
      <c r="A191" s="2020"/>
      <c r="B191" s="2021"/>
      <c r="C191" s="73">
        <v>2016</v>
      </c>
      <c r="D191" s="395">
        <v>1208</v>
      </c>
      <c r="E191" s="339">
        <v>52</v>
      </c>
      <c r="F191" s="339"/>
      <c r="G191" s="291">
        <f t="shared" si="21"/>
        <v>1260</v>
      </c>
      <c r="H191" s="457"/>
      <c r="I191" s="339">
        <v>92</v>
      </c>
      <c r="J191" s="339"/>
      <c r="K191" s="339"/>
      <c r="L191" s="340">
        <v>1168</v>
      </c>
    </row>
    <row r="192" spans="1:15">
      <c r="A192" s="2020"/>
      <c r="B192" s="2021"/>
      <c r="C192" s="73">
        <v>2017</v>
      </c>
      <c r="D192" s="37">
        <v>1356</v>
      </c>
      <c r="E192" s="38">
        <v>95</v>
      </c>
      <c r="F192" s="38"/>
      <c r="G192" s="291">
        <f t="shared" si="21"/>
        <v>1451</v>
      </c>
      <c r="H192" s="112"/>
      <c r="I192" s="38">
        <v>98</v>
      </c>
      <c r="J192" s="38"/>
      <c r="K192" s="38"/>
      <c r="L192" s="88">
        <v>1353</v>
      </c>
    </row>
    <row r="193" spans="1:14">
      <c r="A193" s="2020"/>
      <c r="B193" s="2021"/>
      <c r="C193" s="73">
        <v>2018</v>
      </c>
      <c r="D193" s="37"/>
      <c r="E193" s="38"/>
      <c r="F193" s="38"/>
      <c r="G193" s="291">
        <f t="shared" si="21"/>
        <v>0</v>
      </c>
      <c r="H193" s="112"/>
      <c r="I193" s="38"/>
      <c r="J193" s="38"/>
      <c r="K193" s="38"/>
      <c r="L193" s="88"/>
    </row>
    <row r="194" spans="1:14">
      <c r="A194" s="2020"/>
      <c r="B194" s="2021"/>
      <c r="C194" s="73">
        <v>2019</v>
      </c>
      <c r="D194" s="37"/>
      <c r="E194" s="38"/>
      <c r="F194" s="38"/>
      <c r="G194" s="291">
        <f t="shared" si="21"/>
        <v>0</v>
      </c>
      <c r="H194" s="112"/>
      <c r="I194" s="38"/>
      <c r="J194" s="38"/>
      <c r="K194" s="38"/>
      <c r="L194" s="88"/>
    </row>
    <row r="195" spans="1:14">
      <c r="A195" s="2020"/>
      <c r="B195" s="2021"/>
      <c r="C195" s="73">
        <v>2020</v>
      </c>
      <c r="D195" s="37"/>
      <c r="E195" s="38"/>
      <c r="F195" s="38"/>
      <c r="G195" s="291">
        <f t="shared" si="21"/>
        <v>0</v>
      </c>
      <c r="H195" s="112"/>
      <c r="I195" s="38"/>
      <c r="J195" s="38"/>
      <c r="K195" s="38"/>
      <c r="L195" s="88"/>
    </row>
    <row r="196" spans="1:14" ht="15.75" thickBot="1">
      <c r="A196" s="2022"/>
      <c r="B196" s="2023"/>
      <c r="C196" s="136" t="s">
        <v>13</v>
      </c>
      <c r="D196" s="139">
        <f t="shared" ref="D196:L196" si="22">SUM(D189:D195)</f>
        <v>2564</v>
      </c>
      <c r="E196" s="116">
        <f t="shared" si="22"/>
        <v>147</v>
      </c>
      <c r="F196" s="116">
        <f t="shared" si="22"/>
        <v>0</v>
      </c>
      <c r="G196" s="292">
        <f t="shared" si="22"/>
        <v>2711</v>
      </c>
      <c r="H196" s="115">
        <f t="shared" si="22"/>
        <v>0</v>
      </c>
      <c r="I196" s="116">
        <f t="shared" si="22"/>
        <v>190</v>
      </c>
      <c r="J196" s="116">
        <f t="shared" si="22"/>
        <v>0</v>
      </c>
      <c r="K196" s="116">
        <f t="shared" si="22"/>
        <v>0</v>
      </c>
      <c r="L196" s="117">
        <f t="shared" si="22"/>
        <v>2521</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296" t="s">
        <v>150</v>
      </c>
      <c r="B201" s="417" t="s">
        <v>182</v>
      </c>
      <c r="C201" s="298" t="s">
        <v>9</v>
      </c>
      <c r="D201" s="299" t="s">
        <v>151</v>
      </c>
      <c r="E201" s="300" t="s">
        <v>152</v>
      </c>
      <c r="F201" s="300" t="s">
        <v>153</v>
      </c>
      <c r="G201" s="298" t="s">
        <v>154</v>
      </c>
      <c r="H201" s="301"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321" t="s">
        <v>161</v>
      </c>
      <c r="B212" s="322" t="s">
        <v>162</v>
      </c>
      <c r="C212" s="323">
        <v>2014</v>
      </c>
      <c r="D212" s="324">
        <v>2015</v>
      </c>
      <c r="E212" s="324">
        <v>2016</v>
      </c>
      <c r="F212" s="324">
        <v>2017</v>
      </c>
      <c r="G212" s="324">
        <v>2018</v>
      </c>
      <c r="H212" s="324">
        <v>2019</v>
      </c>
      <c r="I212" s="325">
        <v>2020</v>
      </c>
    </row>
    <row r="213" spans="1:12" ht="15" customHeight="1">
      <c r="A213" t="s">
        <v>163</v>
      </c>
      <c r="B213" s="1973" t="s">
        <v>214</v>
      </c>
      <c r="C213" s="72"/>
      <c r="D213" s="461">
        <f>SUM(D214:D216)</f>
        <v>14164.35</v>
      </c>
      <c r="E213" s="462">
        <f>SUM(E214:E217)</f>
        <v>750236.10000000009</v>
      </c>
      <c r="F213" s="462">
        <f>SUM(F214:F217)</f>
        <v>727765.89999999991</v>
      </c>
      <c r="G213" s="135"/>
      <c r="H213" s="135"/>
      <c r="I213" s="326"/>
    </row>
    <row r="214" spans="1:12">
      <c r="A214" t="s">
        <v>164</v>
      </c>
      <c r="B214" s="1974"/>
      <c r="C214" s="72"/>
      <c r="D214" s="135">
        <v>1998.85</v>
      </c>
      <c r="E214" s="463">
        <v>256263.27</v>
      </c>
      <c r="F214" s="463">
        <v>264638.05</v>
      </c>
      <c r="G214" s="135"/>
      <c r="H214" s="135"/>
      <c r="I214" s="326"/>
    </row>
    <row r="215" spans="1:12">
      <c r="A215" t="s">
        <v>165</v>
      </c>
      <c r="B215" s="1974"/>
      <c r="C215" s="72"/>
      <c r="D215" s="135"/>
      <c r="E215" s="463"/>
      <c r="F215" s="463"/>
      <c r="G215" s="135"/>
      <c r="H215" s="135"/>
      <c r="I215" s="326"/>
    </row>
    <row r="216" spans="1:12">
      <c r="A216" t="s">
        <v>166</v>
      </c>
      <c r="B216" s="1974"/>
      <c r="C216" s="72"/>
      <c r="D216" s="135">
        <v>12165.5</v>
      </c>
      <c r="E216" s="463">
        <v>210919.63</v>
      </c>
      <c r="F216" s="463">
        <v>178271.43</v>
      </c>
      <c r="G216" s="135"/>
      <c r="H216" s="135"/>
      <c r="I216" s="326"/>
    </row>
    <row r="217" spans="1:12">
      <c r="A217" t="s">
        <v>167</v>
      </c>
      <c r="B217" s="1974"/>
      <c r="C217" s="72"/>
      <c r="D217" s="135"/>
      <c r="E217" s="463">
        <v>283053.2</v>
      </c>
      <c r="F217" s="463">
        <v>284856.42</v>
      </c>
      <c r="G217" s="135"/>
      <c r="H217" s="135"/>
      <c r="I217" s="326"/>
    </row>
    <row r="218" spans="1:12" ht="30">
      <c r="A218" s="56" t="s">
        <v>168</v>
      </c>
      <c r="B218" s="1974"/>
      <c r="C218" s="72"/>
      <c r="D218" s="458">
        <v>139540.98000000001</v>
      </c>
      <c r="E218" s="463">
        <v>305032.98</v>
      </c>
      <c r="F218" s="463">
        <v>385452.74</v>
      </c>
      <c r="G218" s="135"/>
      <c r="H218" s="135"/>
      <c r="I218" s="326"/>
    </row>
    <row r="219" spans="1:12" ht="78.75" customHeight="1" thickBot="1">
      <c r="A219" s="331"/>
      <c r="B219" s="1975"/>
      <c r="C219" s="42" t="s">
        <v>13</v>
      </c>
      <c r="D219" s="333">
        <f>SUM(D214:D218)</f>
        <v>153705.33000000002</v>
      </c>
      <c r="E219" s="464">
        <f t="shared" ref="E219:I219" si="24">SUM(E214:E218)</f>
        <v>1055269.08</v>
      </c>
      <c r="F219" s="464">
        <f>SUM(F213+F218)</f>
        <v>1113218.6399999999</v>
      </c>
      <c r="G219" s="333">
        <f t="shared" si="24"/>
        <v>0</v>
      </c>
      <c r="H219" s="333">
        <f t="shared" si="24"/>
        <v>0</v>
      </c>
      <c r="I219" s="333">
        <f t="shared" si="24"/>
        <v>0</v>
      </c>
    </row>
    <row r="224" spans="1:12">
      <c r="D224" s="458"/>
    </row>
    <row r="225" spans="1:8">
      <c r="D225" s="160"/>
      <c r="G225" s="465"/>
      <c r="H225" s="465"/>
    </row>
    <row r="226" spans="1:8">
      <c r="D226" s="160"/>
    </row>
    <row r="227" spans="1:8">
      <c r="A227" s="56"/>
    </row>
    <row r="228" spans="1:8">
      <c r="F228" s="466"/>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topLeftCell="B10" zoomScale="80" zoomScaleNormal="80" workbookViewId="0">
      <selection activeCell="F228" sqref="F228"/>
    </sheetView>
  </sheetViews>
  <sheetFormatPr defaultColWidth="8.85546875" defaultRowHeight="15"/>
  <cols>
    <col min="1" max="1" width="91" customWidth="1"/>
    <col min="2" max="2" width="47.710937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241</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2067" t="s">
        <v>242</v>
      </c>
      <c r="B17" s="2068"/>
      <c r="C17" s="29">
        <v>2014</v>
      </c>
      <c r="D17" s="517"/>
      <c r="E17" s="518"/>
      <c r="F17" s="518"/>
      <c r="G17" s="519">
        <f t="shared" ref="G17:G23" si="0">SUM(D17:F17)</f>
        <v>0</v>
      </c>
      <c r="H17" s="520"/>
      <c r="I17" s="518"/>
      <c r="J17" s="518"/>
      <c r="K17" s="518"/>
      <c r="L17" s="518"/>
      <c r="M17" s="518"/>
      <c r="N17" s="518"/>
      <c r="O17" s="521"/>
      <c r="P17" s="35"/>
      <c r="Q17" s="35"/>
      <c r="R17" s="35"/>
      <c r="S17" s="35"/>
      <c r="T17" s="35"/>
      <c r="U17" s="35"/>
      <c r="V17" s="35"/>
      <c r="W17" s="35"/>
      <c r="X17" s="35"/>
      <c r="Y17" s="35"/>
    </row>
    <row r="18" spans="1:25">
      <c r="A18" s="2067"/>
      <c r="B18" s="2068"/>
      <c r="C18" s="36">
        <v>2015</v>
      </c>
      <c r="D18" s="522">
        <v>10</v>
      </c>
      <c r="E18" s="523">
        <v>2</v>
      </c>
      <c r="F18" s="523">
        <v>0</v>
      </c>
      <c r="G18" s="519">
        <f t="shared" si="0"/>
        <v>12</v>
      </c>
      <c r="H18" s="524">
        <v>0</v>
      </c>
      <c r="I18" s="92">
        <v>0</v>
      </c>
      <c r="J18" s="92">
        <v>0</v>
      </c>
      <c r="K18" s="92">
        <v>8</v>
      </c>
      <c r="L18" s="92">
        <v>2</v>
      </c>
      <c r="M18" s="92">
        <v>0</v>
      </c>
      <c r="N18" s="92">
        <v>0</v>
      </c>
      <c r="O18" s="525">
        <v>2</v>
      </c>
      <c r="P18" s="35"/>
      <c r="Q18" s="35"/>
      <c r="R18" s="35"/>
      <c r="S18" s="35"/>
      <c r="T18" s="35"/>
      <c r="U18" s="35"/>
      <c r="V18" s="35"/>
      <c r="W18" s="35"/>
      <c r="X18" s="35"/>
      <c r="Y18" s="35"/>
    </row>
    <row r="19" spans="1:25">
      <c r="A19" s="2067"/>
      <c r="B19" s="2068"/>
      <c r="C19" s="36">
        <v>2016</v>
      </c>
      <c r="D19" s="526">
        <v>58</v>
      </c>
      <c r="E19" s="527">
        <v>3</v>
      </c>
      <c r="F19" s="527">
        <v>1</v>
      </c>
      <c r="G19" s="519">
        <f t="shared" si="0"/>
        <v>62</v>
      </c>
      <c r="H19" s="433">
        <v>0</v>
      </c>
      <c r="I19" s="89">
        <v>34</v>
      </c>
      <c r="J19" s="89">
        <v>0</v>
      </c>
      <c r="K19" s="89">
        <v>0</v>
      </c>
      <c r="L19" s="89">
        <v>9</v>
      </c>
      <c r="M19" s="89">
        <v>0</v>
      </c>
      <c r="N19" s="89">
        <v>0</v>
      </c>
      <c r="O19" s="528">
        <v>19</v>
      </c>
      <c r="P19" s="35"/>
      <c r="Q19" s="35"/>
      <c r="R19" s="35"/>
      <c r="S19" s="35"/>
      <c r="T19" s="35"/>
      <c r="U19" s="35"/>
      <c r="V19" s="35"/>
      <c r="W19" s="35"/>
      <c r="X19" s="35"/>
      <c r="Y19" s="35"/>
    </row>
    <row r="20" spans="1:25">
      <c r="A20" s="2067"/>
      <c r="B20" s="2068"/>
      <c r="C20" s="36">
        <v>2017</v>
      </c>
      <c r="D20" s="526">
        <v>8</v>
      </c>
      <c r="E20" s="527">
        <v>0</v>
      </c>
      <c r="F20" s="527">
        <v>1</v>
      </c>
      <c r="G20" s="519">
        <f t="shared" si="0"/>
        <v>9</v>
      </c>
      <c r="H20" s="433">
        <v>0</v>
      </c>
      <c r="I20" s="89">
        <f>1+3+1</f>
        <v>5</v>
      </c>
      <c r="J20" s="89">
        <v>0</v>
      </c>
      <c r="K20" s="89">
        <v>4</v>
      </c>
      <c r="L20" s="89">
        <v>0</v>
      </c>
      <c r="M20" s="89">
        <v>0</v>
      </c>
      <c r="N20" s="89">
        <v>0</v>
      </c>
      <c r="O20" s="528">
        <v>0</v>
      </c>
      <c r="P20" s="35"/>
      <c r="Q20" s="35"/>
      <c r="R20" s="35"/>
      <c r="S20" s="35"/>
      <c r="T20" s="35"/>
      <c r="U20" s="35"/>
      <c r="V20" s="35"/>
      <c r="W20" s="35"/>
      <c r="X20" s="35"/>
      <c r="Y20" s="35"/>
    </row>
    <row r="21" spans="1:25">
      <c r="A21" s="2067"/>
      <c r="B21" s="2068"/>
      <c r="C21" s="36">
        <v>2018</v>
      </c>
      <c r="D21" s="526"/>
      <c r="E21" s="527"/>
      <c r="F21" s="527"/>
      <c r="G21" s="519">
        <f t="shared" si="0"/>
        <v>0</v>
      </c>
      <c r="H21" s="433"/>
      <c r="I21" s="89"/>
      <c r="J21" s="89"/>
      <c r="K21" s="89"/>
      <c r="L21" s="89"/>
      <c r="M21" s="89"/>
      <c r="N21" s="89"/>
      <c r="O21" s="528"/>
      <c r="P21" s="35"/>
      <c r="Q21" s="35"/>
      <c r="R21" s="35"/>
      <c r="S21" s="35"/>
      <c r="T21" s="35"/>
      <c r="U21" s="35"/>
      <c r="V21" s="35"/>
      <c r="W21" s="35"/>
      <c r="X21" s="35"/>
      <c r="Y21" s="35"/>
    </row>
    <row r="22" spans="1:25">
      <c r="A22" s="2067"/>
      <c r="B22" s="2068"/>
      <c r="C22" s="41">
        <v>2019</v>
      </c>
      <c r="D22" s="526"/>
      <c r="E22" s="527"/>
      <c r="F22" s="527"/>
      <c r="G22" s="519">
        <f>SUM(D22:F22)</f>
        <v>0</v>
      </c>
      <c r="H22" s="433"/>
      <c r="I22" s="89"/>
      <c r="J22" s="89"/>
      <c r="K22" s="89"/>
      <c r="L22" s="89"/>
      <c r="M22" s="89"/>
      <c r="N22" s="89"/>
      <c r="O22" s="528"/>
      <c r="P22" s="35"/>
      <c r="Q22" s="35"/>
      <c r="R22" s="35"/>
      <c r="S22" s="35"/>
      <c r="T22" s="35"/>
      <c r="U22" s="35"/>
      <c r="V22" s="35"/>
      <c r="W22" s="35"/>
      <c r="X22" s="35"/>
      <c r="Y22" s="35"/>
    </row>
    <row r="23" spans="1:25">
      <c r="A23" s="2067"/>
      <c r="B23" s="2068"/>
      <c r="C23" s="36">
        <v>2020</v>
      </c>
      <c r="D23" s="526"/>
      <c r="E23" s="527"/>
      <c r="F23" s="527"/>
      <c r="G23" s="519">
        <f t="shared" si="0"/>
        <v>0</v>
      </c>
      <c r="H23" s="433"/>
      <c r="I23" s="89"/>
      <c r="J23" s="89"/>
      <c r="K23" s="89"/>
      <c r="L23" s="89"/>
      <c r="M23" s="89"/>
      <c r="N23" s="89"/>
      <c r="O23" s="528"/>
      <c r="P23" s="35"/>
      <c r="Q23" s="35"/>
      <c r="R23" s="35"/>
      <c r="S23" s="35"/>
      <c r="T23" s="35"/>
      <c r="U23" s="35"/>
      <c r="V23" s="35"/>
      <c r="W23" s="35"/>
      <c r="X23" s="35"/>
      <c r="Y23" s="35"/>
    </row>
    <row r="24" spans="1:25" ht="39" customHeight="1" thickBot="1">
      <c r="A24" s="2069"/>
      <c r="B24" s="2070"/>
      <c r="C24" s="42" t="s">
        <v>13</v>
      </c>
      <c r="D24" s="529">
        <f>SUM(D17:D23)</f>
        <v>76</v>
      </c>
      <c r="E24" s="530">
        <f>SUM(E17:E23)</f>
        <v>5</v>
      </c>
      <c r="F24" s="530">
        <f>SUM(F17:F23)</f>
        <v>2</v>
      </c>
      <c r="G24" s="531">
        <f>SUM(D24:F24)</f>
        <v>83</v>
      </c>
      <c r="H24" s="435">
        <f>SUM(H17:H23)</f>
        <v>0</v>
      </c>
      <c r="I24" s="532">
        <f>SUM(I17:I23)</f>
        <v>39</v>
      </c>
      <c r="J24" s="532">
        <f t="shared" ref="J24:N24" si="1">SUM(J17:J23)</f>
        <v>0</v>
      </c>
      <c r="K24" s="532">
        <f t="shared" si="1"/>
        <v>12</v>
      </c>
      <c r="L24" s="532">
        <f t="shared" si="1"/>
        <v>11</v>
      </c>
      <c r="M24" s="532">
        <f t="shared" si="1"/>
        <v>0</v>
      </c>
      <c r="N24" s="532">
        <f t="shared" si="1"/>
        <v>0</v>
      </c>
      <c r="O24" s="436">
        <f>SUM(O17:O23)</f>
        <v>21</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55.5"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2067" t="s">
        <v>243</v>
      </c>
      <c r="B28" s="2068"/>
      <c r="C28" s="57">
        <v>2014</v>
      </c>
      <c r="D28" s="33"/>
      <c r="E28" s="31"/>
      <c r="F28" s="31"/>
      <c r="G28" s="58">
        <f>SUM(D28:F28)</f>
        <v>0</v>
      </c>
      <c r="H28" s="35"/>
      <c r="I28" s="35"/>
      <c r="J28" s="35"/>
      <c r="K28" s="35"/>
      <c r="L28" s="35"/>
      <c r="M28" s="35"/>
      <c r="N28" s="35"/>
      <c r="O28" s="35"/>
      <c r="P28" s="35"/>
      <c r="Q28" s="7"/>
    </row>
    <row r="29" spans="1:25">
      <c r="A29" s="2067"/>
      <c r="B29" s="2068"/>
      <c r="C29" s="59">
        <v>2015</v>
      </c>
      <c r="D29" s="433">
        <f>996+17+14+233+17+250+24+220+24+244-65+5000</f>
        <v>6974</v>
      </c>
      <c r="E29" s="92">
        <f>20000+65000+25000</f>
        <v>110000</v>
      </c>
      <c r="F29" s="38">
        <v>0</v>
      </c>
      <c r="G29" s="434">
        <f t="shared" ref="G29:G34" si="2">SUM(D29:F29)</f>
        <v>116974</v>
      </c>
      <c r="H29" s="35"/>
      <c r="I29" s="35"/>
      <c r="J29" s="35"/>
      <c r="K29" s="35"/>
      <c r="L29" s="35"/>
      <c r="M29" s="35"/>
      <c r="N29" s="35"/>
      <c r="O29" s="35"/>
      <c r="P29" s="35"/>
      <c r="Q29" s="7"/>
    </row>
    <row r="30" spans="1:25">
      <c r="A30" s="2067"/>
      <c r="B30" s="2068"/>
      <c r="C30" s="59">
        <v>2016</v>
      </c>
      <c r="D30" s="433">
        <f>143+63+40+91+106+57+317+23+22+43+42+44+44+43+115+13+22+23+83+54+154+367</f>
        <v>1909</v>
      </c>
      <c r="E30" s="92">
        <f>32000+50000+20000</f>
        <v>102000</v>
      </c>
      <c r="F30" s="89">
        <v>400000</v>
      </c>
      <c r="G30" s="434">
        <f>D30+E30+F30</f>
        <v>503909</v>
      </c>
      <c r="H30" s="35"/>
      <c r="I30" s="35"/>
      <c r="J30" s="35"/>
      <c r="K30" s="35"/>
      <c r="L30" s="35"/>
      <c r="M30" s="35"/>
      <c r="N30" s="35"/>
      <c r="O30" s="35"/>
      <c r="P30" s="35"/>
      <c r="Q30" s="7"/>
    </row>
    <row r="31" spans="1:25">
      <c r="A31" s="2067"/>
      <c r="B31" s="2068"/>
      <c r="C31" s="59">
        <v>2017</v>
      </c>
      <c r="D31" s="433">
        <f>52+2000+700</f>
        <v>2752</v>
      </c>
      <c r="E31" s="89">
        <v>0</v>
      </c>
      <c r="F31" s="89">
        <v>400000</v>
      </c>
      <c r="G31" s="434">
        <f t="shared" si="2"/>
        <v>402752</v>
      </c>
      <c r="H31" s="35"/>
      <c r="I31" s="35"/>
      <c r="J31" s="35"/>
      <c r="K31" s="35"/>
      <c r="L31" s="35"/>
      <c r="M31" s="35"/>
      <c r="N31" s="35"/>
      <c r="O31" s="35"/>
      <c r="P31" s="35"/>
      <c r="Q31" s="7"/>
    </row>
    <row r="32" spans="1:25">
      <c r="A32" s="2067"/>
      <c r="B32" s="2068"/>
      <c r="C32" s="59">
        <v>2018</v>
      </c>
      <c r="D32" s="433"/>
      <c r="E32" s="89"/>
      <c r="F32" s="89"/>
      <c r="G32" s="434">
        <f>SUM(D32:F32)</f>
        <v>0</v>
      </c>
      <c r="H32" s="35"/>
      <c r="I32" s="35"/>
      <c r="J32" s="35"/>
      <c r="K32" s="35"/>
      <c r="L32" s="35"/>
      <c r="M32" s="35"/>
      <c r="N32" s="35"/>
      <c r="O32" s="35"/>
      <c r="P32" s="35"/>
      <c r="Q32" s="7"/>
    </row>
    <row r="33" spans="1:17">
      <c r="A33" s="2067"/>
      <c r="B33" s="2068"/>
      <c r="C33" s="60">
        <v>2019</v>
      </c>
      <c r="D33" s="433"/>
      <c r="E33" s="89"/>
      <c r="F33" s="89"/>
      <c r="G33" s="434">
        <f t="shared" si="2"/>
        <v>0</v>
      </c>
      <c r="H33" s="35"/>
      <c r="I33" s="35"/>
      <c r="J33" s="35"/>
      <c r="K33" s="35"/>
      <c r="L33" s="35"/>
      <c r="M33" s="35"/>
      <c r="N33" s="35"/>
      <c r="O33" s="35"/>
      <c r="P33" s="35"/>
      <c r="Q33" s="7"/>
    </row>
    <row r="34" spans="1:17" ht="16.5" customHeight="1">
      <c r="A34" s="2067"/>
      <c r="B34" s="2068"/>
      <c r="C34" s="59">
        <v>2020</v>
      </c>
      <c r="D34" s="433"/>
      <c r="E34" s="89"/>
      <c r="F34" s="89"/>
      <c r="G34" s="434">
        <f t="shared" si="2"/>
        <v>0</v>
      </c>
      <c r="H34" s="35"/>
      <c r="I34" s="35"/>
      <c r="J34" s="35"/>
      <c r="K34" s="35"/>
      <c r="L34" s="35"/>
      <c r="M34" s="35"/>
      <c r="N34" s="35"/>
      <c r="O34" s="35"/>
      <c r="P34" s="35"/>
      <c r="Q34" s="7"/>
    </row>
    <row r="35" spans="1:17" ht="88.5" customHeight="1" thickBot="1">
      <c r="A35" s="2069"/>
      <c r="B35" s="2070"/>
      <c r="C35" s="61" t="s">
        <v>13</v>
      </c>
      <c r="D35" s="435">
        <f>SUM(D28:D34)</f>
        <v>11635</v>
      </c>
      <c r="E35" s="94">
        <f>SUM(E28:E34)</f>
        <v>212000</v>
      </c>
      <c r="F35" s="94">
        <f>SUM(F28:F34)</f>
        <v>800000</v>
      </c>
      <c r="G35" s="436">
        <f>D35+E35+F35</f>
        <v>1023635</v>
      </c>
      <c r="H35" s="35"/>
      <c r="I35" s="533"/>
      <c r="J35" s="35"/>
      <c r="K35" s="35"/>
      <c r="L35" s="35"/>
      <c r="M35" s="35"/>
      <c r="N35" s="35"/>
      <c r="O35" s="35"/>
      <c r="P35" s="35"/>
      <c r="Q35" s="7"/>
    </row>
    <row r="36" spans="1:17">
      <c r="A36" s="62"/>
      <c r="B36" s="62"/>
      <c r="C36" s="49"/>
      <c r="H36" s="7"/>
      <c r="I36" s="534"/>
      <c r="J36" s="534"/>
      <c r="K36" s="534"/>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537">
        <v>11060</v>
      </c>
      <c r="E41" s="538">
        <v>3374</v>
      </c>
      <c r="F41" s="7"/>
      <c r="G41" s="35"/>
      <c r="H41" s="35"/>
    </row>
    <row r="42" spans="1:17">
      <c r="A42" s="1854"/>
      <c r="B42" s="1855"/>
      <c r="C42" s="73">
        <v>2016</v>
      </c>
      <c r="D42" s="537">
        <v>34877</v>
      </c>
      <c r="E42" s="538">
        <v>13201</v>
      </c>
      <c r="F42" s="7"/>
      <c r="G42" s="35"/>
      <c r="H42" s="35"/>
    </row>
    <row r="43" spans="1:17">
      <c r="A43" s="1854"/>
      <c r="B43" s="1855"/>
      <c r="C43" s="73">
        <v>2017</v>
      </c>
      <c r="D43" s="537">
        <v>38888</v>
      </c>
      <c r="E43" s="538">
        <v>151858</v>
      </c>
      <c r="F43" s="7"/>
      <c r="G43" s="35"/>
      <c r="H43" s="35"/>
    </row>
    <row r="44" spans="1:17">
      <c r="A44" s="1854"/>
      <c r="B44" s="1855"/>
      <c r="C44" s="73">
        <v>2018</v>
      </c>
      <c r="D44" s="74"/>
      <c r="E44" s="75"/>
      <c r="F44" s="7"/>
      <c r="G44" s="35"/>
      <c r="H44" s="35"/>
    </row>
    <row r="45" spans="1:17">
      <c r="A45" s="1854"/>
      <c r="B45" s="1855"/>
      <c r="C45" s="73">
        <v>2019</v>
      </c>
      <c r="D45" s="74"/>
      <c r="E45" s="75"/>
      <c r="F45" s="7"/>
      <c r="G45" s="35"/>
      <c r="H45" s="35"/>
    </row>
    <row r="46" spans="1:17">
      <c r="A46" s="1854"/>
      <c r="B46" s="1855"/>
      <c r="C46" s="73">
        <v>2020</v>
      </c>
      <c r="D46" s="74"/>
      <c r="E46" s="75"/>
      <c r="F46" s="7"/>
      <c r="G46" s="35"/>
      <c r="H46" s="35"/>
    </row>
    <row r="47" spans="1:17" ht="15.75" thickBot="1">
      <c r="A47" s="1856"/>
      <c r="B47" s="1857"/>
      <c r="C47" s="42" t="s">
        <v>13</v>
      </c>
      <c r="D47" s="76">
        <f>SUM(D40:D46)</f>
        <v>84825</v>
      </c>
      <c r="E47" s="77">
        <f>SUM(E40:E46)</f>
        <v>168433</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v>0</v>
      </c>
      <c r="E52" s="38">
        <v>0</v>
      </c>
      <c r="F52" s="38">
        <v>0</v>
      </c>
      <c r="G52" s="38">
        <v>0</v>
      </c>
      <c r="H52" s="38">
        <v>0</v>
      </c>
      <c r="I52" s="38">
        <v>0</v>
      </c>
      <c r="J52" s="38">
        <v>0</v>
      </c>
      <c r="K52" s="88">
        <v>0</v>
      </c>
    </row>
    <row r="53" spans="1:15">
      <c r="A53" s="1874"/>
      <c r="B53" s="1881"/>
      <c r="C53" s="73">
        <v>2016</v>
      </c>
      <c r="D53" s="37">
        <v>0</v>
      </c>
      <c r="E53" s="38">
        <v>0</v>
      </c>
      <c r="F53" s="38">
        <v>0</v>
      </c>
      <c r="G53" s="38">
        <v>0</v>
      </c>
      <c r="H53" s="38">
        <v>0</v>
      </c>
      <c r="I53" s="38">
        <v>0</v>
      </c>
      <c r="J53" s="38">
        <v>0</v>
      </c>
      <c r="K53" s="88">
        <v>0</v>
      </c>
    </row>
    <row r="54" spans="1:15">
      <c r="A54" s="1874"/>
      <c r="B54" s="1881"/>
      <c r="C54" s="73">
        <v>2017</v>
      </c>
      <c r="D54" s="37">
        <v>0</v>
      </c>
      <c r="E54" s="38">
        <v>0</v>
      </c>
      <c r="F54" s="38">
        <v>0</v>
      </c>
      <c r="G54" s="38">
        <v>0</v>
      </c>
      <c r="H54" s="38">
        <v>0</v>
      </c>
      <c r="I54" s="38">
        <v>0</v>
      </c>
      <c r="J54" s="38">
        <v>0</v>
      </c>
      <c r="K54" s="88">
        <v>0</v>
      </c>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2061"/>
      <c r="B62" s="2063" t="s">
        <v>244</v>
      </c>
      <c r="C62" s="106">
        <v>2014</v>
      </c>
      <c r="D62" s="107"/>
      <c r="E62" s="108"/>
      <c r="F62" s="109"/>
      <c r="G62" s="109"/>
      <c r="H62" s="109"/>
      <c r="I62" s="109"/>
      <c r="J62" s="109"/>
      <c r="K62" s="109"/>
      <c r="L62" s="34"/>
      <c r="M62" s="7"/>
      <c r="N62" s="7"/>
      <c r="O62" s="7"/>
    </row>
    <row r="63" spans="1:15">
      <c r="A63" s="2061"/>
      <c r="B63" s="2061"/>
      <c r="C63" s="110">
        <v>2015</v>
      </c>
      <c r="D63" s="111">
        <v>1</v>
      </c>
      <c r="E63" s="112">
        <v>0</v>
      </c>
      <c r="F63" s="38">
        <v>0</v>
      </c>
      <c r="G63" s="38">
        <v>0</v>
      </c>
      <c r="H63" s="38">
        <v>0</v>
      </c>
      <c r="I63" s="38">
        <v>0</v>
      </c>
      <c r="J63" s="38">
        <v>0</v>
      </c>
      <c r="K63" s="38">
        <v>0</v>
      </c>
      <c r="L63" s="88">
        <v>1</v>
      </c>
      <c r="M63" s="7"/>
      <c r="N63" s="7"/>
      <c r="O63" s="7"/>
    </row>
    <row r="64" spans="1:15">
      <c r="A64" s="2061"/>
      <c r="B64" s="2061"/>
      <c r="C64" s="110">
        <v>2016</v>
      </c>
      <c r="D64" s="111">
        <v>2</v>
      </c>
      <c r="E64" s="112">
        <v>0</v>
      </c>
      <c r="F64" s="38">
        <v>0</v>
      </c>
      <c r="G64" s="38">
        <v>0</v>
      </c>
      <c r="H64" s="38">
        <v>0</v>
      </c>
      <c r="I64" s="38">
        <v>0</v>
      </c>
      <c r="J64" s="38">
        <v>0</v>
      </c>
      <c r="K64" s="38">
        <v>0</v>
      </c>
      <c r="L64" s="88">
        <f>1+1</f>
        <v>2</v>
      </c>
      <c r="M64" s="7"/>
      <c r="N64" s="7"/>
      <c r="O64" s="7"/>
    </row>
    <row r="65" spans="1:20">
      <c r="A65" s="2061"/>
      <c r="B65" s="2061"/>
      <c r="C65" s="110">
        <v>2017</v>
      </c>
      <c r="D65" s="111">
        <v>6</v>
      </c>
      <c r="E65" s="112">
        <f>1+1</f>
        <v>2</v>
      </c>
      <c r="F65" s="38">
        <f>1</f>
        <v>1</v>
      </c>
      <c r="G65" s="38">
        <v>0</v>
      </c>
      <c r="H65" s="38">
        <f>1+1+1</f>
        <v>3</v>
      </c>
      <c r="I65" s="38">
        <v>0</v>
      </c>
      <c r="J65" s="38">
        <v>0</v>
      </c>
      <c r="K65" s="38">
        <v>0</v>
      </c>
      <c r="L65" s="88">
        <v>0</v>
      </c>
      <c r="M65" s="7"/>
      <c r="N65" s="7"/>
      <c r="O65" s="7"/>
    </row>
    <row r="66" spans="1:20">
      <c r="A66" s="2061"/>
      <c r="B66" s="2061"/>
      <c r="C66" s="110">
        <v>2018</v>
      </c>
      <c r="D66" s="111"/>
      <c r="E66" s="112"/>
      <c r="F66" s="38"/>
      <c r="G66" s="38"/>
      <c r="H66" s="38"/>
      <c r="I66" s="38"/>
      <c r="J66" s="38"/>
      <c r="K66" s="38"/>
      <c r="L66" s="88"/>
      <c r="M66" s="7"/>
      <c r="N66" s="7"/>
      <c r="O66" s="7"/>
    </row>
    <row r="67" spans="1:20" ht="17.25" customHeight="1">
      <c r="A67" s="2061"/>
      <c r="B67" s="2061"/>
      <c r="C67" s="110">
        <v>2019</v>
      </c>
      <c r="D67" s="111"/>
      <c r="E67" s="112"/>
      <c r="F67" s="38"/>
      <c r="G67" s="38"/>
      <c r="H67" s="38"/>
      <c r="I67" s="38"/>
      <c r="J67" s="38"/>
      <c r="K67" s="38"/>
      <c r="L67" s="88"/>
      <c r="M67" s="7"/>
      <c r="N67" s="7"/>
      <c r="O67" s="7"/>
    </row>
    <row r="68" spans="1:20" ht="16.5" customHeight="1">
      <c r="A68" s="2061"/>
      <c r="B68" s="2061"/>
      <c r="C68" s="110">
        <v>2020</v>
      </c>
      <c r="D68" s="111"/>
      <c r="E68" s="112"/>
      <c r="F68" s="38"/>
      <c r="G68" s="38"/>
      <c r="H68" s="38"/>
      <c r="I68" s="38"/>
      <c r="J68" s="38"/>
      <c r="K68" s="38"/>
      <c r="L68" s="88"/>
      <c r="M68" s="78"/>
      <c r="N68" s="78"/>
      <c r="O68" s="78"/>
    </row>
    <row r="69" spans="1:20" ht="18" customHeight="1" thickBot="1">
      <c r="A69" s="2062"/>
      <c r="B69" s="2062"/>
      <c r="C69" s="113" t="s">
        <v>13</v>
      </c>
      <c r="D69" s="114">
        <f>SUM(D62:D68)</f>
        <v>9</v>
      </c>
      <c r="E69" s="115">
        <f>SUM(E62:E68)</f>
        <v>2</v>
      </c>
      <c r="F69" s="116">
        <f t="shared" ref="F69:I69" si="4">SUM(F62:F68)</f>
        <v>1</v>
      </c>
      <c r="G69" s="116">
        <f t="shared" si="4"/>
        <v>0</v>
      </c>
      <c r="H69" s="116">
        <f t="shared" si="4"/>
        <v>3</v>
      </c>
      <c r="I69" s="116">
        <f t="shared" si="4"/>
        <v>0</v>
      </c>
      <c r="J69" s="116"/>
      <c r="K69" s="116">
        <f>SUM(K62:K68)</f>
        <v>0</v>
      </c>
      <c r="L69" s="117">
        <f>SUM(L62:L68)</f>
        <v>3</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2064" t="s">
        <v>245</v>
      </c>
      <c r="B72" s="2032"/>
      <c r="C72" s="72">
        <v>2014</v>
      </c>
      <c r="D72" s="131"/>
      <c r="E72" s="131"/>
      <c r="F72" s="131"/>
      <c r="G72" s="132">
        <f>SUM(D72:F72)</f>
        <v>0</v>
      </c>
      <c r="H72" s="30"/>
      <c r="I72" s="133"/>
      <c r="J72" s="109"/>
      <c r="K72" s="109"/>
      <c r="L72" s="109"/>
      <c r="M72" s="109"/>
      <c r="N72" s="109"/>
      <c r="O72" s="134"/>
    </row>
    <row r="73" spans="1:20">
      <c r="A73" s="2065"/>
      <c r="B73" s="2032"/>
      <c r="C73" s="73">
        <v>2015</v>
      </c>
      <c r="D73" s="135">
        <v>3</v>
      </c>
      <c r="E73" s="135">
        <v>0</v>
      </c>
      <c r="F73" s="135">
        <v>0</v>
      </c>
      <c r="G73" s="132">
        <f t="shared" ref="G73:G78" si="5">SUM(D73:F73)</f>
        <v>3</v>
      </c>
      <c r="H73" s="37">
        <v>0</v>
      </c>
      <c r="I73" s="526">
        <v>0</v>
      </c>
      <c r="J73" s="527">
        <v>0</v>
      </c>
      <c r="K73" s="527">
        <v>0</v>
      </c>
      <c r="L73" s="527">
        <v>0</v>
      </c>
      <c r="M73" s="527">
        <v>0</v>
      </c>
      <c r="N73" s="527">
        <v>0</v>
      </c>
      <c r="O73" s="543">
        <v>3</v>
      </c>
    </row>
    <row r="74" spans="1:20">
      <c r="A74" s="2065"/>
      <c r="B74" s="2032"/>
      <c r="C74" s="73">
        <v>2016</v>
      </c>
      <c r="D74" s="135">
        <f>6+4+2</f>
        <v>12</v>
      </c>
      <c r="E74" s="135">
        <v>0</v>
      </c>
      <c r="F74" s="135">
        <v>0</v>
      </c>
      <c r="G74" s="132">
        <f t="shared" si="5"/>
        <v>12</v>
      </c>
      <c r="H74" s="37">
        <v>0</v>
      </c>
      <c r="I74" s="526">
        <v>0</v>
      </c>
      <c r="J74" s="527">
        <v>0</v>
      </c>
      <c r="K74" s="527">
        <v>0</v>
      </c>
      <c r="L74" s="527">
        <v>0</v>
      </c>
      <c r="M74" s="527">
        <v>0</v>
      </c>
      <c r="N74" s="527">
        <v>0</v>
      </c>
      <c r="O74" s="543">
        <f>6+4+2</f>
        <v>12</v>
      </c>
    </row>
    <row r="75" spans="1:20">
      <c r="A75" s="2065"/>
      <c r="B75" s="2032"/>
      <c r="C75" s="73">
        <v>2017</v>
      </c>
      <c r="D75" s="135">
        <v>1</v>
      </c>
      <c r="E75" s="135">
        <v>0</v>
      </c>
      <c r="F75" s="135">
        <v>0</v>
      </c>
      <c r="G75" s="132">
        <f t="shared" si="5"/>
        <v>1</v>
      </c>
      <c r="H75" s="37">
        <v>0</v>
      </c>
      <c r="I75" s="526">
        <v>1</v>
      </c>
      <c r="J75" s="527">
        <v>0</v>
      </c>
      <c r="K75" s="527">
        <v>0</v>
      </c>
      <c r="L75" s="527">
        <v>0</v>
      </c>
      <c r="M75" s="527">
        <v>0</v>
      </c>
      <c r="N75" s="527">
        <v>0</v>
      </c>
      <c r="O75" s="543">
        <v>0</v>
      </c>
    </row>
    <row r="76" spans="1:20">
      <c r="A76" s="2065"/>
      <c r="B76" s="2032"/>
      <c r="C76" s="73">
        <v>2018</v>
      </c>
      <c r="D76" s="135"/>
      <c r="E76" s="135"/>
      <c r="F76" s="135"/>
      <c r="G76" s="132">
        <f t="shared" si="5"/>
        <v>0</v>
      </c>
      <c r="H76" s="37"/>
      <c r="I76" s="526"/>
      <c r="J76" s="527"/>
      <c r="K76" s="527"/>
      <c r="L76" s="527"/>
      <c r="M76" s="527"/>
      <c r="N76" s="527"/>
      <c r="O76" s="543"/>
    </row>
    <row r="77" spans="1:20" ht="15.75" customHeight="1">
      <c r="A77" s="2065"/>
      <c r="B77" s="2032"/>
      <c r="C77" s="73">
        <v>2019</v>
      </c>
      <c r="D77" s="135"/>
      <c r="E77" s="135"/>
      <c r="F77" s="135"/>
      <c r="G77" s="132">
        <f t="shared" si="5"/>
        <v>0</v>
      </c>
      <c r="H77" s="37"/>
      <c r="I77" s="526"/>
      <c r="J77" s="527"/>
      <c r="K77" s="527"/>
      <c r="L77" s="527"/>
      <c r="M77" s="527"/>
      <c r="N77" s="527"/>
      <c r="O77" s="543"/>
    </row>
    <row r="78" spans="1:20" ht="17.25" customHeight="1">
      <c r="A78" s="2065"/>
      <c r="B78" s="2032"/>
      <c r="C78" s="73">
        <v>2020</v>
      </c>
      <c r="D78" s="135"/>
      <c r="E78" s="135"/>
      <c r="F78" s="135"/>
      <c r="G78" s="132">
        <f t="shared" si="5"/>
        <v>0</v>
      </c>
      <c r="H78" s="37"/>
      <c r="I78" s="526"/>
      <c r="J78" s="527"/>
      <c r="K78" s="527"/>
      <c r="L78" s="527"/>
      <c r="M78" s="527"/>
      <c r="N78" s="527"/>
      <c r="O78" s="543"/>
    </row>
    <row r="79" spans="1:20" ht="20.25" customHeight="1" thickBot="1">
      <c r="A79" s="2066"/>
      <c r="B79" s="2033"/>
      <c r="C79" s="136" t="s">
        <v>13</v>
      </c>
      <c r="D79" s="114">
        <f>SUM(D72:D78)</f>
        <v>16</v>
      </c>
      <c r="E79" s="114">
        <f>SUM(E72:E78)</f>
        <v>0</v>
      </c>
      <c r="F79" s="114">
        <f>SUM(F72:F78)</f>
        <v>0</v>
      </c>
      <c r="G79" s="137">
        <f>SUM(G72:G78)</f>
        <v>16</v>
      </c>
      <c r="H79" s="138">
        <v>0</v>
      </c>
      <c r="I79" s="544">
        <f t="shared" ref="I79:O79" si="6">SUM(I72:I78)</f>
        <v>1</v>
      </c>
      <c r="J79" s="545">
        <f t="shared" si="6"/>
        <v>0</v>
      </c>
      <c r="K79" s="545">
        <f t="shared" si="6"/>
        <v>0</v>
      </c>
      <c r="L79" s="545">
        <f t="shared" si="6"/>
        <v>0</v>
      </c>
      <c r="M79" s="545">
        <f t="shared" si="6"/>
        <v>0</v>
      </c>
      <c r="N79" s="545">
        <f t="shared" si="6"/>
        <v>0</v>
      </c>
      <c r="O79" s="546">
        <f t="shared" si="6"/>
        <v>15</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8"/>
      <c r="B85" s="1899"/>
      <c r="C85" s="72">
        <v>2014</v>
      </c>
      <c r="D85" s="154"/>
      <c r="E85" s="155"/>
      <c r="F85" s="31"/>
      <c r="G85" s="31"/>
      <c r="H85" s="31"/>
      <c r="I85" s="31"/>
      <c r="J85" s="31"/>
      <c r="K85" s="34"/>
    </row>
    <row r="86" spans="1:16">
      <c r="A86" s="1939"/>
      <c r="B86" s="1899"/>
      <c r="C86" s="73">
        <v>2015</v>
      </c>
      <c r="D86" s="156">
        <v>0</v>
      </c>
      <c r="E86" s="112">
        <v>0</v>
      </c>
      <c r="F86" s="38">
        <v>0</v>
      </c>
      <c r="G86" s="38">
        <v>0</v>
      </c>
      <c r="H86" s="38">
        <v>0</v>
      </c>
      <c r="I86" s="38">
        <v>0</v>
      </c>
      <c r="J86" s="38">
        <v>0</v>
      </c>
      <c r="K86" s="88">
        <v>0</v>
      </c>
    </row>
    <row r="87" spans="1:16">
      <c r="A87" s="1939"/>
      <c r="B87" s="1899"/>
      <c r="C87" s="73">
        <v>2016</v>
      </c>
      <c r="D87" s="156">
        <v>0</v>
      </c>
      <c r="E87" s="112">
        <v>0</v>
      </c>
      <c r="F87" s="38">
        <v>0</v>
      </c>
      <c r="G87" s="38">
        <v>0</v>
      </c>
      <c r="H87" s="38">
        <v>0</v>
      </c>
      <c r="I87" s="38">
        <v>0</v>
      </c>
      <c r="J87" s="38">
        <v>0</v>
      </c>
      <c r="K87" s="88">
        <v>0</v>
      </c>
    </row>
    <row r="88" spans="1:16">
      <c r="A88" s="1939"/>
      <c r="B88" s="1899"/>
      <c r="C88" s="73">
        <v>2017</v>
      </c>
      <c r="D88" s="156">
        <v>0</v>
      </c>
      <c r="E88" s="112">
        <v>0</v>
      </c>
      <c r="F88" s="38">
        <v>0</v>
      </c>
      <c r="G88" s="38">
        <v>0</v>
      </c>
      <c r="H88" s="38">
        <v>0</v>
      </c>
      <c r="I88" s="38">
        <v>0</v>
      </c>
      <c r="J88" s="38">
        <v>0</v>
      </c>
      <c r="K88" s="88">
        <v>0</v>
      </c>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928"/>
      <c r="B98" s="2060" t="s">
        <v>246</v>
      </c>
      <c r="C98" s="106">
        <v>2014</v>
      </c>
      <c r="D98" s="30"/>
      <c r="E98" s="31"/>
      <c r="F98" s="174"/>
      <c r="G98" s="175"/>
      <c r="H98" s="175"/>
      <c r="I98" s="175"/>
      <c r="J98" s="175"/>
      <c r="K98" s="175"/>
      <c r="L98" s="175"/>
      <c r="M98" s="176"/>
      <c r="N98" s="165"/>
      <c r="O98" s="165"/>
      <c r="P98" s="165"/>
    </row>
    <row r="99" spans="1:16" ht="16.5" customHeight="1">
      <c r="A99" s="1928"/>
      <c r="B99" s="2032"/>
      <c r="C99" s="110">
        <v>2015</v>
      </c>
      <c r="D99" s="37">
        <v>1</v>
      </c>
      <c r="E99" s="38">
        <v>2</v>
      </c>
      <c r="F99" s="177">
        <v>0</v>
      </c>
      <c r="G99" s="178">
        <v>0</v>
      </c>
      <c r="H99" s="178">
        <v>0</v>
      </c>
      <c r="I99" s="178">
        <v>0</v>
      </c>
      <c r="J99" s="178">
        <v>0</v>
      </c>
      <c r="K99" s="178">
        <v>0</v>
      </c>
      <c r="L99" s="178">
        <v>0</v>
      </c>
      <c r="M99" s="256">
        <v>1</v>
      </c>
      <c r="N99" s="165"/>
      <c r="O99" s="165"/>
      <c r="P99" s="165"/>
    </row>
    <row r="100" spans="1:16" ht="16.5" customHeight="1">
      <c r="A100" s="1928"/>
      <c r="B100" s="2032"/>
      <c r="C100" s="110">
        <v>2016</v>
      </c>
      <c r="D100" s="37">
        <v>1</v>
      </c>
      <c r="E100" s="339">
        <v>7</v>
      </c>
      <c r="F100" s="177">
        <v>0</v>
      </c>
      <c r="G100" s="178">
        <v>0</v>
      </c>
      <c r="H100" s="178">
        <v>0</v>
      </c>
      <c r="I100" s="178">
        <v>0</v>
      </c>
      <c r="J100" s="178">
        <v>0</v>
      </c>
      <c r="K100" s="178">
        <v>0</v>
      </c>
      <c r="L100" s="178">
        <v>0</v>
      </c>
      <c r="M100" s="256">
        <v>1</v>
      </c>
      <c r="N100" s="165"/>
      <c r="O100" s="165"/>
      <c r="P100" s="165"/>
    </row>
    <row r="101" spans="1:16" ht="16.5" customHeight="1">
      <c r="A101" s="1928"/>
      <c r="B101" s="2032"/>
      <c r="C101" s="110">
        <v>2017</v>
      </c>
      <c r="D101" s="37">
        <v>2</v>
      </c>
      <c r="E101" s="38">
        <f>5+1</f>
        <v>6</v>
      </c>
      <c r="F101" s="177">
        <v>0</v>
      </c>
      <c r="G101" s="178">
        <v>0</v>
      </c>
      <c r="H101" s="178">
        <v>0</v>
      </c>
      <c r="I101" s="178">
        <v>0</v>
      </c>
      <c r="J101" s="178">
        <v>0</v>
      </c>
      <c r="K101" s="178">
        <v>0</v>
      </c>
      <c r="L101" s="178">
        <v>0</v>
      </c>
      <c r="M101" s="179">
        <v>2</v>
      </c>
      <c r="N101" s="165"/>
      <c r="O101" s="165"/>
      <c r="P101" s="165"/>
    </row>
    <row r="102" spans="1:16" ht="15.75" customHeight="1">
      <c r="A102" s="1928"/>
      <c r="B102" s="2032"/>
      <c r="C102" s="110">
        <v>2018</v>
      </c>
      <c r="D102" s="37"/>
      <c r="E102" s="38"/>
      <c r="F102" s="177"/>
      <c r="G102" s="178"/>
      <c r="H102" s="178"/>
      <c r="I102" s="178"/>
      <c r="J102" s="178"/>
      <c r="K102" s="178"/>
      <c r="L102" s="178"/>
      <c r="M102" s="179"/>
      <c r="N102" s="165"/>
      <c r="O102" s="165"/>
      <c r="P102" s="165"/>
    </row>
    <row r="103" spans="1:16" ht="14.25" customHeight="1">
      <c r="A103" s="1928"/>
      <c r="B103" s="2032"/>
      <c r="C103" s="110">
        <v>2019</v>
      </c>
      <c r="D103" s="37"/>
      <c r="E103" s="38"/>
      <c r="F103" s="177"/>
      <c r="G103" s="178"/>
      <c r="H103" s="178"/>
      <c r="I103" s="178"/>
      <c r="J103" s="178"/>
      <c r="K103" s="178"/>
      <c r="L103" s="178"/>
      <c r="M103" s="179"/>
      <c r="N103" s="165"/>
      <c r="O103" s="165"/>
      <c r="P103" s="165"/>
    </row>
    <row r="104" spans="1:16" ht="14.25" customHeight="1">
      <c r="A104" s="1928"/>
      <c r="B104" s="2032"/>
      <c r="C104" s="110">
        <v>2020</v>
      </c>
      <c r="D104" s="37"/>
      <c r="E104" s="38"/>
      <c r="F104" s="177"/>
      <c r="G104" s="178"/>
      <c r="H104" s="178"/>
      <c r="I104" s="178"/>
      <c r="J104" s="178"/>
      <c r="K104" s="178"/>
      <c r="L104" s="178"/>
      <c r="M104" s="179"/>
      <c r="N104" s="165"/>
      <c r="O104" s="165"/>
      <c r="P104" s="165"/>
    </row>
    <row r="105" spans="1:16" ht="56.25" customHeight="1" thickBot="1">
      <c r="A105" s="2059"/>
      <c r="B105" s="2033"/>
      <c r="C105" s="113" t="s">
        <v>13</v>
      </c>
      <c r="D105" s="139">
        <f>SUM(D98:D104)</f>
        <v>4</v>
      </c>
      <c r="E105" s="116">
        <f t="shared" ref="E105:K105" si="8">SUM(E98:E104)</f>
        <v>15</v>
      </c>
      <c r="F105" s="180">
        <f t="shared" si="8"/>
        <v>0</v>
      </c>
      <c r="G105" s="181">
        <f t="shared" si="8"/>
        <v>0</v>
      </c>
      <c r="H105" s="181">
        <f t="shared" si="8"/>
        <v>0</v>
      </c>
      <c r="I105" s="181">
        <f>SUM(I98:I104)</f>
        <v>0</v>
      </c>
      <c r="J105" s="181">
        <f t="shared" si="8"/>
        <v>0</v>
      </c>
      <c r="K105" s="181">
        <f t="shared" si="8"/>
        <v>0</v>
      </c>
      <c r="L105" s="181">
        <f>SUM(L98:L104)</f>
        <v>0</v>
      </c>
      <c r="M105" s="182">
        <f>SUM(M98:M104)</f>
        <v>4</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928"/>
      <c r="B109" s="2056"/>
      <c r="C109" s="106">
        <v>2014</v>
      </c>
      <c r="D109" s="31"/>
      <c r="E109" s="174"/>
      <c r="F109" s="175"/>
      <c r="G109" s="175"/>
      <c r="H109" s="175"/>
      <c r="I109" s="175"/>
      <c r="J109" s="175"/>
      <c r="K109" s="175"/>
      <c r="L109" s="176"/>
      <c r="M109" s="185"/>
      <c r="N109" s="185"/>
    </row>
    <row r="110" spans="1:16">
      <c r="A110" s="1928"/>
      <c r="B110" s="2056"/>
      <c r="C110" s="110">
        <v>2015</v>
      </c>
      <c r="D110" s="38"/>
      <c r="E110" s="177">
        <v>0</v>
      </c>
      <c r="F110" s="178">
        <v>0</v>
      </c>
      <c r="G110" s="178">
        <v>0</v>
      </c>
      <c r="H110" s="178">
        <v>0</v>
      </c>
      <c r="I110" s="178">
        <v>0</v>
      </c>
      <c r="J110" s="178">
        <v>0</v>
      </c>
      <c r="K110" s="178">
        <v>0</v>
      </c>
      <c r="L110" s="179">
        <v>0</v>
      </c>
      <c r="M110" s="185"/>
      <c r="N110" s="185"/>
    </row>
    <row r="111" spans="1:16">
      <c r="A111" s="1928"/>
      <c r="B111" s="2056"/>
      <c r="C111" s="110">
        <v>2016</v>
      </c>
      <c r="D111" s="91"/>
      <c r="E111" s="177">
        <v>0</v>
      </c>
      <c r="F111" s="178">
        <v>0</v>
      </c>
      <c r="G111" s="178">
        <v>0</v>
      </c>
      <c r="H111" s="178">
        <v>0</v>
      </c>
      <c r="I111" s="178">
        <v>0</v>
      </c>
      <c r="J111" s="178">
        <v>0</v>
      </c>
      <c r="K111" s="178">
        <v>0</v>
      </c>
      <c r="L111" s="551">
        <v>0</v>
      </c>
      <c r="M111" s="185"/>
      <c r="N111" s="185"/>
    </row>
    <row r="112" spans="1:16">
      <c r="A112" s="1928"/>
      <c r="B112" s="2056"/>
      <c r="C112" s="110">
        <v>2017</v>
      </c>
      <c r="D112" s="38"/>
      <c r="E112" s="177">
        <v>0</v>
      </c>
      <c r="F112" s="178">
        <v>0</v>
      </c>
      <c r="G112" s="178">
        <v>0</v>
      </c>
      <c r="H112" s="178">
        <v>0</v>
      </c>
      <c r="I112" s="178">
        <v>0</v>
      </c>
      <c r="J112" s="178">
        <v>0</v>
      </c>
      <c r="K112" s="178">
        <v>0</v>
      </c>
      <c r="L112" s="179">
        <v>0</v>
      </c>
      <c r="M112" s="185"/>
      <c r="N112" s="185"/>
    </row>
    <row r="113" spans="1:14">
      <c r="A113" s="1928"/>
      <c r="B113" s="2056"/>
      <c r="C113" s="110">
        <v>2018</v>
      </c>
      <c r="D113" s="38"/>
      <c r="E113" s="177"/>
      <c r="F113" s="178"/>
      <c r="G113" s="178"/>
      <c r="H113" s="178"/>
      <c r="I113" s="178"/>
      <c r="J113" s="178"/>
      <c r="K113" s="178"/>
      <c r="L113" s="179"/>
      <c r="M113" s="185"/>
      <c r="N113" s="185"/>
    </row>
    <row r="114" spans="1:14">
      <c r="A114" s="1928"/>
      <c r="B114" s="2056"/>
      <c r="C114" s="110">
        <v>2019</v>
      </c>
      <c r="D114" s="38"/>
      <c r="E114" s="177"/>
      <c r="F114" s="178"/>
      <c r="G114" s="178"/>
      <c r="H114" s="178"/>
      <c r="I114" s="178"/>
      <c r="J114" s="178"/>
      <c r="K114" s="178"/>
      <c r="L114" s="179"/>
      <c r="M114" s="185"/>
      <c r="N114" s="185"/>
    </row>
    <row r="115" spans="1:14">
      <c r="A115" s="1928"/>
      <c r="B115" s="2056"/>
      <c r="C115" s="110">
        <v>2020</v>
      </c>
      <c r="D115" s="38"/>
      <c r="E115" s="177"/>
      <c r="F115" s="178"/>
      <c r="G115" s="178"/>
      <c r="H115" s="178"/>
      <c r="I115" s="178"/>
      <c r="J115" s="178"/>
      <c r="K115" s="178"/>
      <c r="L115" s="179"/>
      <c r="M115" s="185"/>
      <c r="N115" s="185"/>
    </row>
    <row r="116" spans="1:14" ht="25.5" customHeight="1" thickBot="1">
      <c r="A116" s="2059"/>
      <c r="B116" s="2057"/>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v>0</v>
      </c>
      <c r="E121" s="177">
        <v>0</v>
      </c>
      <c r="F121" s="178">
        <v>0</v>
      </c>
      <c r="G121" s="178">
        <v>0</v>
      </c>
      <c r="H121" s="178">
        <v>0</v>
      </c>
      <c r="I121" s="178">
        <v>0</v>
      </c>
      <c r="J121" s="178">
        <v>0</v>
      </c>
      <c r="K121" s="178">
        <v>0</v>
      </c>
      <c r="L121" s="179">
        <v>0</v>
      </c>
      <c r="M121" s="185"/>
      <c r="N121" s="185"/>
    </row>
    <row r="122" spans="1:14">
      <c r="A122" s="1891"/>
      <c r="B122" s="1899"/>
      <c r="C122" s="110">
        <v>2016</v>
      </c>
      <c r="D122" s="38">
        <v>0</v>
      </c>
      <c r="E122" s="177">
        <v>0</v>
      </c>
      <c r="F122" s="178">
        <v>0</v>
      </c>
      <c r="G122" s="178">
        <v>0</v>
      </c>
      <c r="H122" s="178">
        <v>0</v>
      </c>
      <c r="I122" s="178">
        <v>0</v>
      </c>
      <c r="J122" s="178">
        <v>0</v>
      </c>
      <c r="K122" s="178">
        <v>0</v>
      </c>
      <c r="L122" s="179">
        <v>0</v>
      </c>
      <c r="M122" s="185"/>
      <c r="N122" s="185"/>
    </row>
    <row r="123" spans="1:14">
      <c r="A123" s="1891"/>
      <c r="B123" s="1899"/>
      <c r="C123" s="110">
        <v>2017</v>
      </c>
      <c r="D123" s="38">
        <v>0</v>
      </c>
      <c r="E123" s="177">
        <v>0</v>
      </c>
      <c r="F123" s="178">
        <v>0</v>
      </c>
      <c r="G123" s="178">
        <v>0</v>
      </c>
      <c r="H123" s="178">
        <v>0</v>
      </c>
      <c r="I123" s="178">
        <v>0</v>
      </c>
      <c r="J123" s="178">
        <v>0</v>
      </c>
      <c r="K123" s="178">
        <v>0</v>
      </c>
      <c r="L123" s="179">
        <v>0</v>
      </c>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2053"/>
      <c r="B131" s="2055" t="s">
        <v>247</v>
      </c>
      <c r="C131" s="106">
        <v>2015</v>
      </c>
      <c r="D131" s="30">
        <v>14</v>
      </c>
      <c r="E131" s="31"/>
      <c r="F131" s="31"/>
      <c r="G131" s="195">
        <f t="shared" ref="G131:G136" si="11">SUM(D131:F131)</f>
        <v>14</v>
      </c>
      <c r="H131" s="185"/>
      <c r="I131" s="185"/>
      <c r="J131" s="185"/>
      <c r="K131" s="185"/>
      <c r="L131" s="185"/>
      <c r="M131" s="185"/>
      <c r="N131" s="185"/>
    </row>
    <row r="132" spans="1:16">
      <c r="A132" s="2053"/>
      <c r="B132" s="2056"/>
      <c r="C132" s="110">
        <v>2016</v>
      </c>
      <c r="D132" s="90">
        <f>35+9+12+16</f>
        <v>72</v>
      </c>
      <c r="E132" s="38">
        <v>0</v>
      </c>
      <c r="F132" s="38">
        <v>0</v>
      </c>
      <c r="G132" s="195">
        <f t="shared" si="11"/>
        <v>72</v>
      </c>
      <c r="H132" s="185"/>
      <c r="I132" s="185"/>
      <c r="J132" s="185"/>
      <c r="K132" s="185"/>
      <c r="L132" s="185"/>
      <c r="M132" s="185"/>
      <c r="N132" s="185"/>
    </row>
    <row r="133" spans="1:16">
      <c r="A133" s="2053"/>
      <c r="B133" s="2056"/>
      <c r="C133" s="110">
        <v>2017</v>
      </c>
      <c r="D133" s="37">
        <f>38+73+11+11</f>
        <v>133</v>
      </c>
      <c r="E133" s="38">
        <v>0</v>
      </c>
      <c r="F133" s="38">
        <v>0</v>
      </c>
      <c r="G133" s="195">
        <f t="shared" si="11"/>
        <v>133</v>
      </c>
      <c r="H133" s="185"/>
      <c r="I133" s="185"/>
      <c r="J133" s="185"/>
      <c r="K133" s="185"/>
      <c r="L133" s="185"/>
      <c r="M133" s="185"/>
      <c r="N133" s="185"/>
    </row>
    <row r="134" spans="1:16">
      <c r="A134" s="2053"/>
      <c r="B134" s="2056"/>
      <c r="C134" s="110">
        <v>2018</v>
      </c>
      <c r="D134" s="37"/>
      <c r="E134" s="38"/>
      <c r="F134" s="38"/>
      <c r="G134" s="195">
        <f t="shared" si="11"/>
        <v>0</v>
      </c>
      <c r="H134" s="185"/>
      <c r="I134" s="185"/>
      <c r="J134" s="185"/>
      <c r="K134" s="185"/>
      <c r="L134" s="185"/>
      <c r="M134" s="185"/>
      <c r="N134" s="185"/>
    </row>
    <row r="135" spans="1:16">
      <c r="A135" s="2053"/>
      <c r="B135" s="2056"/>
      <c r="C135" s="110">
        <v>2019</v>
      </c>
      <c r="D135" s="37"/>
      <c r="E135" s="38"/>
      <c r="F135" s="38"/>
      <c r="G135" s="195">
        <f t="shared" si="11"/>
        <v>0</v>
      </c>
      <c r="H135" s="185"/>
      <c r="I135" s="185"/>
      <c r="J135" s="185"/>
      <c r="K135" s="185"/>
      <c r="L135" s="185"/>
      <c r="M135" s="185"/>
      <c r="N135" s="185"/>
    </row>
    <row r="136" spans="1:16">
      <c r="A136" s="2053"/>
      <c r="B136" s="2056"/>
      <c r="C136" s="110">
        <v>2020</v>
      </c>
      <c r="D136" s="37"/>
      <c r="E136" s="38"/>
      <c r="F136" s="38"/>
      <c r="G136" s="195">
        <f t="shared" si="11"/>
        <v>0</v>
      </c>
      <c r="H136" s="185"/>
      <c r="I136" s="185"/>
      <c r="J136" s="185"/>
      <c r="K136" s="185"/>
      <c r="L136" s="185"/>
      <c r="M136" s="185"/>
      <c r="N136" s="185"/>
    </row>
    <row r="137" spans="1:16" ht="48.75" customHeight="1" thickBot="1">
      <c r="A137" s="2054"/>
      <c r="B137" s="2057"/>
      <c r="C137" s="113" t="s">
        <v>13</v>
      </c>
      <c r="D137" s="139">
        <f>SUM(D131:D136)</f>
        <v>219</v>
      </c>
      <c r="E137" s="139">
        <f t="shared" ref="E137:F137" si="12">SUM(E131:E136)</f>
        <v>0</v>
      </c>
      <c r="F137" s="139">
        <f t="shared" si="12"/>
        <v>0</v>
      </c>
      <c r="G137" s="196">
        <f>SUM(G131:G136)</f>
        <v>219</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v>0</v>
      </c>
      <c r="E145" s="37">
        <v>0</v>
      </c>
      <c r="F145" s="38">
        <v>0</v>
      </c>
      <c r="G145" s="178">
        <v>0</v>
      </c>
      <c r="H145" s="178">
        <v>0</v>
      </c>
      <c r="I145" s="213">
        <f t="shared" ref="I145:I150" si="13">D145+F145+G145+H145</f>
        <v>0</v>
      </c>
      <c r="J145" s="217">
        <v>0</v>
      </c>
      <c r="K145" s="218">
        <v>0</v>
      </c>
      <c r="L145" s="217">
        <v>0</v>
      </c>
      <c r="M145" s="218">
        <v>0</v>
      </c>
      <c r="N145" s="219">
        <v>0</v>
      </c>
      <c r="O145" s="165"/>
      <c r="P145" s="165"/>
    </row>
    <row r="146" spans="1:16" ht="20.25" customHeight="1">
      <c r="A146" s="1891"/>
      <c r="B146" s="1899"/>
      <c r="C146" s="110">
        <v>2016</v>
      </c>
      <c r="D146" s="37">
        <v>0</v>
      </c>
      <c r="E146" s="37">
        <v>0</v>
      </c>
      <c r="F146" s="38">
        <v>0</v>
      </c>
      <c r="G146" s="178">
        <v>0</v>
      </c>
      <c r="H146" s="178">
        <v>0</v>
      </c>
      <c r="I146" s="213">
        <f t="shared" si="13"/>
        <v>0</v>
      </c>
      <c r="J146" s="217">
        <v>0</v>
      </c>
      <c r="K146" s="218">
        <v>0</v>
      </c>
      <c r="L146" s="217">
        <v>0</v>
      </c>
      <c r="M146" s="218">
        <v>0</v>
      </c>
      <c r="N146" s="219">
        <v>0</v>
      </c>
      <c r="O146" s="165"/>
      <c r="P146" s="165"/>
    </row>
    <row r="147" spans="1:16" ht="17.25" customHeight="1">
      <c r="A147" s="1891"/>
      <c r="B147" s="1899"/>
      <c r="C147" s="110">
        <v>2017</v>
      </c>
      <c r="D147" s="37">
        <v>0</v>
      </c>
      <c r="E147" s="37">
        <v>0</v>
      </c>
      <c r="F147" s="38">
        <v>0</v>
      </c>
      <c r="G147" s="178">
        <v>0</v>
      </c>
      <c r="H147" s="178">
        <v>0</v>
      </c>
      <c r="I147" s="213">
        <f t="shared" si="13"/>
        <v>0</v>
      </c>
      <c r="J147" s="217">
        <v>0</v>
      </c>
      <c r="K147" s="218">
        <v>0</v>
      </c>
      <c r="L147" s="217">
        <v>0</v>
      </c>
      <c r="M147" s="218">
        <v>0</v>
      </c>
      <c r="N147" s="219">
        <v>0</v>
      </c>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v>0</v>
      </c>
      <c r="E156" s="178">
        <v>0</v>
      </c>
      <c r="F156" s="218">
        <v>0</v>
      </c>
      <c r="G156" s="213">
        <f t="shared" ref="G156:G161" si="15">SUM(D156:F156)</f>
        <v>0</v>
      </c>
      <c r="H156" s="217">
        <v>0</v>
      </c>
      <c r="I156" s="178">
        <v>0</v>
      </c>
      <c r="J156" s="179">
        <v>0</v>
      </c>
      <c r="O156" s="165"/>
      <c r="P156" s="165"/>
    </row>
    <row r="157" spans="1:16" ht="17.25" customHeight="1">
      <c r="A157" s="1891"/>
      <c r="B157" s="1899"/>
      <c r="C157" s="234">
        <v>2016</v>
      </c>
      <c r="D157" s="217">
        <v>0</v>
      </c>
      <c r="E157" s="178">
        <v>0</v>
      </c>
      <c r="F157" s="218">
        <v>0</v>
      </c>
      <c r="G157" s="213">
        <f t="shared" si="15"/>
        <v>0</v>
      </c>
      <c r="H157" s="217">
        <v>0</v>
      </c>
      <c r="I157" s="178">
        <v>0</v>
      </c>
      <c r="J157" s="179">
        <v>0</v>
      </c>
      <c r="O157" s="165"/>
      <c r="P157" s="165"/>
    </row>
    <row r="158" spans="1:16" ht="15" customHeight="1">
      <c r="A158" s="1891"/>
      <c r="B158" s="1899"/>
      <c r="C158" s="234">
        <v>2017</v>
      </c>
      <c r="D158" s="217">
        <v>0</v>
      </c>
      <c r="E158" s="178">
        <v>0</v>
      </c>
      <c r="F158" s="218">
        <v>0</v>
      </c>
      <c r="G158" s="213">
        <f t="shared" si="15"/>
        <v>0</v>
      </c>
      <c r="H158" s="217">
        <v>0</v>
      </c>
      <c r="I158" s="178">
        <v>0</v>
      </c>
      <c r="J158" s="179">
        <v>0</v>
      </c>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v>0</v>
      </c>
      <c r="E166" s="255">
        <v>0</v>
      </c>
      <c r="F166" s="255">
        <v>0</v>
      </c>
      <c r="G166" s="255">
        <v>0</v>
      </c>
      <c r="H166" s="255">
        <v>0</v>
      </c>
      <c r="I166" s="256">
        <v>0</v>
      </c>
      <c r="J166" s="407">
        <f t="shared" ref="J166:K171" si="17">SUM(D166,F166,H166)</f>
        <v>0</v>
      </c>
      <c r="K166" s="408">
        <f t="shared" si="17"/>
        <v>0</v>
      </c>
      <c r="L166" s="406"/>
    </row>
    <row r="167" spans="1:18">
      <c r="A167" s="1880"/>
      <c r="B167" s="1881"/>
      <c r="C167" s="254">
        <v>2016</v>
      </c>
      <c r="D167" s="255">
        <v>0</v>
      </c>
      <c r="E167" s="255">
        <v>0</v>
      </c>
      <c r="F167" s="255">
        <v>0</v>
      </c>
      <c r="G167" s="255">
        <v>0</v>
      </c>
      <c r="H167" s="255">
        <v>0</v>
      </c>
      <c r="I167" s="256">
        <v>0</v>
      </c>
      <c r="J167" s="407">
        <f t="shared" si="17"/>
        <v>0</v>
      </c>
      <c r="K167" s="408">
        <f t="shared" si="17"/>
        <v>0</v>
      </c>
    </row>
    <row r="168" spans="1:18">
      <c r="A168" s="1880"/>
      <c r="B168" s="1881"/>
      <c r="C168" s="254">
        <v>2017</v>
      </c>
      <c r="D168" s="255">
        <v>0</v>
      </c>
      <c r="E168" s="165">
        <v>0</v>
      </c>
      <c r="F168" s="255">
        <v>0</v>
      </c>
      <c r="G168" s="255">
        <v>0</v>
      </c>
      <c r="H168" s="255">
        <v>0</v>
      </c>
      <c r="I168" s="256">
        <v>0</v>
      </c>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564"/>
      <c r="B178" s="2034" t="s">
        <v>248</v>
      </c>
      <c r="C178" s="106">
        <v>2014</v>
      </c>
      <c r="D178" s="30"/>
      <c r="E178" s="31"/>
      <c r="F178" s="31"/>
      <c r="G178" s="284">
        <f>SUM(D178:F178)</f>
        <v>0</v>
      </c>
      <c r="H178" s="155"/>
      <c r="I178" s="155"/>
      <c r="J178" s="31"/>
      <c r="K178" s="31"/>
      <c r="L178" s="31"/>
      <c r="M178" s="31"/>
      <c r="N178" s="31"/>
      <c r="O178" s="34"/>
    </row>
    <row r="179" spans="1:15">
      <c r="A179" s="564"/>
      <c r="B179" s="2035"/>
      <c r="C179" s="110">
        <v>2015</v>
      </c>
      <c r="D179" s="37">
        <v>3</v>
      </c>
      <c r="E179" s="38">
        <v>0</v>
      </c>
      <c r="F179" s="38">
        <v>0</v>
      </c>
      <c r="G179" s="284">
        <f t="shared" ref="G179:G184" si="19">SUM(D179:F179)</f>
        <v>3</v>
      </c>
      <c r="H179" s="411">
        <v>3</v>
      </c>
      <c r="I179" s="112">
        <v>0</v>
      </c>
      <c r="J179" s="38">
        <v>0</v>
      </c>
      <c r="K179" s="38">
        <v>0</v>
      </c>
      <c r="L179" s="38">
        <v>0</v>
      </c>
      <c r="M179" s="38">
        <v>2</v>
      </c>
      <c r="N179" s="38">
        <v>0</v>
      </c>
      <c r="O179" s="88">
        <v>1</v>
      </c>
    </row>
    <row r="180" spans="1:15">
      <c r="A180" s="564"/>
      <c r="B180" s="2035"/>
      <c r="C180" s="110">
        <v>2016</v>
      </c>
      <c r="D180" s="37">
        <v>48</v>
      </c>
      <c r="E180" s="38">
        <v>2</v>
      </c>
      <c r="F180" s="38">
        <v>0</v>
      </c>
      <c r="G180" s="284">
        <f t="shared" si="19"/>
        <v>50</v>
      </c>
      <c r="H180" s="411">
        <v>50</v>
      </c>
      <c r="I180" s="112">
        <v>0</v>
      </c>
      <c r="J180" s="38">
        <v>44</v>
      </c>
      <c r="K180" s="38">
        <v>0</v>
      </c>
      <c r="L180" s="38">
        <v>0</v>
      </c>
      <c r="M180" s="527">
        <v>6</v>
      </c>
      <c r="N180" s="527">
        <v>0</v>
      </c>
      <c r="O180" s="543">
        <v>0</v>
      </c>
    </row>
    <row r="181" spans="1:15">
      <c r="A181" s="564"/>
      <c r="B181" s="2035"/>
      <c r="C181" s="110">
        <v>2017</v>
      </c>
      <c r="D181" s="37">
        <f>23+9+30</f>
        <v>62</v>
      </c>
      <c r="E181" s="38">
        <v>2</v>
      </c>
      <c r="F181" s="38">
        <v>0</v>
      </c>
      <c r="G181" s="284">
        <f t="shared" si="19"/>
        <v>64</v>
      </c>
      <c r="H181" s="411">
        <f>32+43</f>
        <v>75</v>
      </c>
      <c r="I181" s="112">
        <f>1+3</f>
        <v>4</v>
      </c>
      <c r="J181" s="38">
        <v>27</v>
      </c>
      <c r="K181" s="38">
        <v>0</v>
      </c>
      <c r="L181" s="38">
        <f>9+1</f>
        <v>10</v>
      </c>
      <c r="M181" s="527">
        <v>23</v>
      </c>
      <c r="N181" s="527">
        <v>0</v>
      </c>
      <c r="O181" s="543">
        <v>0</v>
      </c>
    </row>
    <row r="182" spans="1:15">
      <c r="A182" s="564"/>
      <c r="B182" s="2035"/>
      <c r="C182" s="110">
        <v>2018</v>
      </c>
      <c r="D182" s="37"/>
      <c r="E182" s="38"/>
      <c r="F182" s="38"/>
      <c r="G182" s="284">
        <f t="shared" si="19"/>
        <v>0</v>
      </c>
      <c r="H182" s="411"/>
      <c r="I182" s="112"/>
      <c r="J182" s="38"/>
      <c r="K182" s="38"/>
      <c r="L182" s="38"/>
      <c r="M182" s="527"/>
      <c r="N182" s="527"/>
      <c r="O182" s="543"/>
    </row>
    <row r="183" spans="1:15">
      <c r="A183" s="564"/>
      <c r="B183" s="2035"/>
      <c r="C183" s="110">
        <v>2019</v>
      </c>
      <c r="D183" s="37"/>
      <c r="E183" s="38"/>
      <c r="F183" s="38"/>
      <c r="G183" s="284">
        <f t="shared" si="19"/>
        <v>0</v>
      </c>
      <c r="H183" s="411"/>
      <c r="I183" s="112"/>
      <c r="J183" s="38"/>
      <c r="K183" s="38"/>
      <c r="L183" s="38"/>
      <c r="M183" s="527"/>
      <c r="N183" s="527"/>
      <c r="O183" s="543"/>
    </row>
    <row r="184" spans="1:15">
      <c r="A184" s="564"/>
      <c r="B184" s="2035"/>
      <c r="C184" s="110">
        <v>2020</v>
      </c>
      <c r="D184" s="37"/>
      <c r="E184" s="38"/>
      <c r="F184" s="38"/>
      <c r="G184" s="284">
        <f t="shared" si="19"/>
        <v>0</v>
      </c>
      <c r="H184" s="411"/>
      <c r="I184" s="112"/>
      <c r="J184" s="38"/>
      <c r="K184" s="38"/>
      <c r="L184" s="38"/>
      <c r="M184" s="527"/>
      <c r="N184" s="527"/>
      <c r="O184" s="543"/>
    </row>
    <row r="185" spans="1:15" ht="87.75" customHeight="1" thickBot="1">
      <c r="A185" s="565"/>
      <c r="B185" s="2036"/>
      <c r="C185" s="113" t="s">
        <v>13</v>
      </c>
      <c r="D185" s="139">
        <f>SUM(D178:D184)</f>
        <v>113</v>
      </c>
      <c r="E185" s="116">
        <f>SUM(E178:E184)</f>
        <v>4</v>
      </c>
      <c r="F185" s="116">
        <f>SUM(F178:F184)</f>
        <v>0</v>
      </c>
      <c r="G185" s="220">
        <f t="shared" ref="G185:O185" si="20">SUM(G178:G184)</f>
        <v>117</v>
      </c>
      <c r="H185" s="285">
        <f t="shared" si="20"/>
        <v>128</v>
      </c>
      <c r="I185" s="115">
        <f t="shared" si="20"/>
        <v>4</v>
      </c>
      <c r="J185" s="116">
        <f t="shared" si="20"/>
        <v>71</v>
      </c>
      <c r="K185" s="116">
        <f t="shared" si="20"/>
        <v>0</v>
      </c>
      <c r="L185" s="116">
        <f t="shared" si="20"/>
        <v>10</v>
      </c>
      <c r="M185" s="545">
        <f t="shared" si="20"/>
        <v>31</v>
      </c>
      <c r="N185" s="545">
        <f t="shared" si="20"/>
        <v>0</v>
      </c>
      <c r="O185" s="546">
        <f t="shared" si="20"/>
        <v>1</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566"/>
      <c r="B189" s="2031" t="s">
        <v>249</v>
      </c>
      <c r="C189" s="290">
        <v>2014</v>
      </c>
      <c r="D189" s="133"/>
      <c r="E189" s="109"/>
      <c r="F189" s="109"/>
      <c r="G189" s="291">
        <f>SUM(D189:F189)</f>
        <v>0</v>
      </c>
      <c r="H189" s="108"/>
      <c r="I189" s="109"/>
      <c r="J189" s="109"/>
      <c r="K189" s="109"/>
      <c r="L189" s="134"/>
    </row>
    <row r="190" spans="1:15">
      <c r="A190" s="567"/>
      <c r="B190" s="2032"/>
      <c r="C190" s="73">
        <v>2015</v>
      </c>
      <c r="D190" s="395">
        <f>142+138</f>
        <v>280</v>
      </c>
      <c r="E190" s="38">
        <v>0</v>
      </c>
      <c r="F190" s="38">
        <v>0</v>
      </c>
      <c r="G190" s="291">
        <f t="shared" ref="G190:G195" si="21">SUM(D190:F190)</f>
        <v>280</v>
      </c>
      <c r="H190" s="112">
        <v>0</v>
      </c>
      <c r="I190" s="339">
        <v>142</v>
      </c>
      <c r="J190" s="38">
        <v>0</v>
      </c>
      <c r="K190" s="38">
        <v>0</v>
      </c>
      <c r="L190" s="340">
        <v>138</v>
      </c>
    </row>
    <row r="191" spans="1:15">
      <c r="A191" s="567"/>
      <c r="B191" s="2032"/>
      <c r="C191" s="73">
        <v>2016</v>
      </c>
      <c r="D191" s="37">
        <f>961+622+83</f>
        <v>1666</v>
      </c>
      <c r="E191" s="38">
        <v>54</v>
      </c>
      <c r="F191" s="38">
        <v>0</v>
      </c>
      <c r="G191" s="291">
        <f t="shared" si="21"/>
        <v>1720</v>
      </c>
      <c r="H191" s="112">
        <v>0</v>
      </c>
      <c r="I191" s="38">
        <v>357</v>
      </c>
      <c r="J191" s="38">
        <v>0</v>
      </c>
      <c r="K191" s="38">
        <v>0</v>
      </c>
      <c r="L191" s="88">
        <f>1309+54</f>
        <v>1363</v>
      </c>
    </row>
    <row r="192" spans="1:15">
      <c r="A192" s="567"/>
      <c r="B192" s="2032"/>
      <c r="C192" s="73">
        <v>2017</v>
      </c>
      <c r="D192" s="37">
        <f>1124+612</f>
        <v>1736</v>
      </c>
      <c r="E192" s="38">
        <v>0</v>
      </c>
      <c r="F192" s="38">
        <v>0</v>
      </c>
      <c r="G192" s="291">
        <f t="shared" si="21"/>
        <v>1736</v>
      </c>
      <c r="H192" s="112">
        <v>0</v>
      </c>
      <c r="I192" s="38">
        <v>784</v>
      </c>
      <c r="J192" s="38">
        <v>0</v>
      </c>
      <c r="K192" s="38">
        <v>0</v>
      </c>
      <c r="L192" s="88">
        <f>340+612</f>
        <v>952</v>
      </c>
    </row>
    <row r="193" spans="1:14">
      <c r="A193" s="567"/>
      <c r="B193" s="2032"/>
      <c r="C193" s="73">
        <v>2018</v>
      </c>
      <c r="D193" s="37"/>
      <c r="E193" s="38"/>
      <c r="F193" s="38"/>
      <c r="G193" s="291">
        <f t="shared" si="21"/>
        <v>0</v>
      </c>
      <c r="H193" s="112"/>
      <c r="I193" s="38"/>
      <c r="J193" s="38"/>
      <c r="K193" s="38"/>
      <c r="L193" s="88"/>
    </row>
    <row r="194" spans="1:14">
      <c r="A194" s="567"/>
      <c r="B194" s="2032"/>
      <c r="C194" s="73">
        <v>2019</v>
      </c>
      <c r="D194" s="37"/>
      <c r="E194" s="38"/>
      <c r="F194" s="38"/>
      <c r="G194" s="291">
        <f t="shared" si="21"/>
        <v>0</v>
      </c>
      <c r="H194" s="112"/>
      <c r="I194" s="38"/>
      <c r="J194" s="38"/>
      <c r="K194" s="38"/>
      <c r="L194" s="88"/>
    </row>
    <row r="195" spans="1:14">
      <c r="A195" s="567"/>
      <c r="B195" s="2032"/>
      <c r="C195" s="73">
        <v>2020</v>
      </c>
      <c r="D195" s="37"/>
      <c r="E195" s="38"/>
      <c r="F195" s="38"/>
      <c r="G195" s="291">
        <f t="shared" si="21"/>
        <v>0</v>
      </c>
      <c r="H195" s="112"/>
      <c r="I195" s="38"/>
      <c r="J195" s="38"/>
      <c r="K195" s="38"/>
      <c r="L195" s="88"/>
    </row>
    <row r="196" spans="1:14" ht="62.25" customHeight="1" thickBot="1">
      <c r="A196" s="568"/>
      <c r="B196" s="2033"/>
      <c r="C196" s="136" t="s">
        <v>13</v>
      </c>
      <c r="D196" s="139">
        <f t="shared" ref="D196:L196" si="22">SUM(D189:D195)</f>
        <v>3682</v>
      </c>
      <c r="E196" s="116">
        <f t="shared" si="22"/>
        <v>54</v>
      </c>
      <c r="F196" s="116">
        <f t="shared" si="22"/>
        <v>0</v>
      </c>
      <c r="G196" s="292">
        <f t="shared" si="22"/>
        <v>3736</v>
      </c>
      <c r="H196" s="115">
        <f t="shared" si="22"/>
        <v>0</v>
      </c>
      <c r="I196" s="116">
        <f t="shared" si="22"/>
        <v>1283</v>
      </c>
      <c r="J196" s="116">
        <f t="shared" si="22"/>
        <v>0</v>
      </c>
      <c r="K196" s="116">
        <f t="shared" si="22"/>
        <v>0</v>
      </c>
      <c r="L196" s="117">
        <f t="shared" si="22"/>
        <v>2453</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v>0</v>
      </c>
      <c r="E203" s="38">
        <v>0</v>
      </c>
      <c r="F203" s="38">
        <v>0</v>
      </c>
      <c r="G203" s="36">
        <v>0</v>
      </c>
      <c r="H203" s="308">
        <v>0</v>
      </c>
      <c r="I203" s="309">
        <v>0</v>
      </c>
      <c r="J203" s="310">
        <v>0</v>
      </c>
      <c r="K203" s="38">
        <v>0</v>
      </c>
      <c r="L203" s="88">
        <v>0</v>
      </c>
    </row>
    <row r="204" spans="1:14">
      <c r="A204" s="1854"/>
      <c r="B204" s="1855"/>
      <c r="C204" s="73">
        <v>2016</v>
      </c>
      <c r="D204" s="37">
        <v>0</v>
      </c>
      <c r="E204" s="38">
        <v>0</v>
      </c>
      <c r="F204" s="38">
        <v>0</v>
      </c>
      <c r="G204" s="36">
        <v>0</v>
      </c>
      <c r="H204" s="308">
        <v>0</v>
      </c>
      <c r="I204" s="309">
        <v>0</v>
      </c>
      <c r="J204" s="310">
        <v>0</v>
      </c>
      <c r="K204" s="38">
        <v>0</v>
      </c>
      <c r="L204" s="88">
        <v>0</v>
      </c>
    </row>
    <row r="205" spans="1:14">
      <c r="A205" s="1854"/>
      <c r="B205" s="1855"/>
      <c r="C205" s="73">
        <v>2017</v>
      </c>
      <c r="D205" s="37">
        <v>0</v>
      </c>
      <c r="E205" s="38">
        <v>0</v>
      </c>
      <c r="F205" s="38">
        <v>0</v>
      </c>
      <c r="G205" s="36">
        <v>0</v>
      </c>
      <c r="H205" s="308">
        <v>0</v>
      </c>
      <c r="I205" s="309">
        <v>0</v>
      </c>
      <c r="J205" s="310">
        <v>0</v>
      </c>
      <c r="K205" s="38">
        <v>0</v>
      </c>
      <c r="L205" s="88">
        <v>0</v>
      </c>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18.7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250</v>
      </c>
      <c r="C213" s="72"/>
      <c r="D213" s="328">
        <f>D214+D216+D217+D215</f>
        <v>890627.55</v>
      </c>
      <c r="E213" s="328">
        <f>E214+E216+E217+E215</f>
        <v>990796.49</v>
      </c>
      <c r="F213" s="572">
        <f>F214+F215+F216+F217</f>
        <v>494284.08999999997</v>
      </c>
      <c r="G213" s="135"/>
      <c r="H213" s="135"/>
      <c r="I213" s="326"/>
    </row>
    <row r="214" spans="1:12">
      <c r="A214" t="s">
        <v>164</v>
      </c>
      <c r="B214" s="1974"/>
      <c r="C214" s="72"/>
      <c r="D214" s="328">
        <v>796803.17</v>
      </c>
      <c r="E214" s="573">
        <f>694673.63-58990.8-79999.2-24846</f>
        <v>530837.63</v>
      </c>
      <c r="F214" s="572">
        <f>204936.74+2261.4+10591+32633+4341.96</f>
        <v>254764.09999999998</v>
      </c>
      <c r="G214" s="135"/>
      <c r="H214" s="135"/>
      <c r="I214" s="326"/>
    </row>
    <row r="215" spans="1:12">
      <c r="A215" t="s">
        <v>165</v>
      </c>
      <c r="B215" s="1974"/>
      <c r="C215" s="72"/>
      <c r="D215" s="328">
        <v>0</v>
      </c>
      <c r="E215" s="573">
        <v>0</v>
      </c>
      <c r="F215" s="574">
        <v>0</v>
      </c>
      <c r="G215" s="135"/>
      <c r="H215" s="135"/>
      <c r="I215" s="326"/>
    </row>
    <row r="216" spans="1:12">
      <c r="A216" t="s">
        <v>166</v>
      </c>
      <c r="B216" s="1974"/>
      <c r="C216" s="72"/>
      <c r="D216" s="328">
        <v>78958.5</v>
      </c>
      <c r="E216" s="574">
        <f>47881.05+58990.8+79999.2+24846</f>
        <v>211717.05</v>
      </c>
      <c r="F216" s="574">
        <f>3500+6642+3690+6000+19987.5+4920+1722</f>
        <v>46461.5</v>
      </c>
      <c r="G216" s="135"/>
      <c r="H216" s="135"/>
      <c r="I216" s="326"/>
    </row>
    <row r="217" spans="1:12">
      <c r="A217" t="s">
        <v>167</v>
      </c>
      <c r="B217" s="1974"/>
      <c r="C217" s="72"/>
      <c r="D217" s="328">
        <v>14865.88</v>
      </c>
      <c r="E217" s="573">
        <v>248241.81</v>
      </c>
      <c r="F217" s="572">
        <f>28800+16501.87+43150+15658.84+11922.35+8855.96+4909.81+11597.35+38548.3+13114.01</f>
        <v>193058.49</v>
      </c>
      <c r="G217" s="135"/>
      <c r="H217" s="135"/>
      <c r="I217" s="326"/>
    </row>
    <row r="218" spans="1:12" ht="30">
      <c r="A218" s="56" t="s">
        <v>168</v>
      </c>
      <c r="B218" s="1974"/>
      <c r="C218" s="72"/>
      <c r="D218" s="328">
        <v>196143.93</v>
      </c>
      <c r="E218" s="575">
        <v>448805.73</v>
      </c>
      <c r="F218" s="572">
        <f>8242.53+5443+378445.24</f>
        <v>392130.77</v>
      </c>
      <c r="G218" s="135"/>
      <c r="H218" s="135"/>
      <c r="I218" s="326"/>
    </row>
    <row r="219" spans="1:12" ht="15.75" thickBot="1">
      <c r="A219" s="331"/>
      <c r="B219" s="1975"/>
      <c r="C219" s="42" t="s">
        <v>13</v>
      </c>
      <c r="D219" s="576">
        <f>SUM(D214:D218)</f>
        <v>1086771.48</v>
      </c>
      <c r="E219" s="576">
        <f>SUM(E214:E218)</f>
        <v>1439602.22</v>
      </c>
      <c r="F219" s="333">
        <f t="shared" ref="F219:I219" si="24">SUM(F214:F218)</f>
        <v>886414.86</v>
      </c>
      <c r="G219" s="333">
        <f t="shared" si="24"/>
        <v>0</v>
      </c>
      <c r="H219" s="333">
        <f t="shared" si="24"/>
        <v>0</v>
      </c>
      <c r="I219" s="333">
        <f t="shared" si="24"/>
        <v>0</v>
      </c>
    </row>
    <row r="223" spans="1:12">
      <c r="E223" s="327"/>
    </row>
    <row r="227" spans="1:1">
      <c r="A227" s="56"/>
    </row>
  </sheetData>
  <mergeCells count="60">
    <mergeCell ref="D60:D61"/>
    <mergeCell ref="B1:F1"/>
    <mergeCell ref="F3:O3"/>
    <mergeCell ref="A4:O10"/>
    <mergeCell ref="D15:G15"/>
    <mergeCell ref="A17:B24"/>
    <mergeCell ref="D26:G26"/>
    <mergeCell ref="A28:B35"/>
    <mergeCell ref="A40:B47"/>
    <mergeCell ref="A50:B58"/>
    <mergeCell ref="A60:A61"/>
    <mergeCell ref="C60:C61"/>
    <mergeCell ref="A62:A69"/>
    <mergeCell ref="B62:B69"/>
    <mergeCell ref="A72:B79"/>
    <mergeCell ref="A85:B92"/>
    <mergeCell ref="A96:A97"/>
    <mergeCell ref="B96:B9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A120:B127"/>
    <mergeCell ref="A129:A130"/>
    <mergeCell ref="B129:B130"/>
    <mergeCell ref="A131:A137"/>
    <mergeCell ref="B131:B137"/>
    <mergeCell ref="C142:C143"/>
    <mergeCell ref="J142:N142"/>
    <mergeCell ref="A144:B151"/>
    <mergeCell ref="A153:A154"/>
    <mergeCell ref="B153:B154"/>
    <mergeCell ref="C153:C154"/>
    <mergeCell ref="A142:A143"/>
    <mergeCell ref="B142:B143"/>
    <mergeCell ref="C187:C188"/>
    <mergeCell ref="D187:G187"/>
    <mergeCell ref="H187:L187"/>
    <mergeCell ref="A155:B162"/>
    <mergeCell ref="A165:B172"/>
    <mergeCell ref="A176:A177"/>
    <mergeCell ref="B176:B177"/>
    <mergeCell ref="C176:C177"/>
    <mergeCell ref="I176:O176"/>
    <mergeCell ref="B189:B196"/>
    <mergeCell ref="A202:B209"/>
    <mergeCell ref="B213:B219"/>
    <mergeCell ref="B178:B185"/>
    <mergeCell ref="A187:A188"/>
    <mergeCell ref="B187:B18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9"/>
  <sheetViews>
    <sheetView topLeftCell="B7" zoomScaleNormal="100" workbookViewId="0">
      <selection activeCell="I18" sqref="I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251</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50"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15" customHeight="1">
      <c r="A17" s="1874" t="s">
        <v>252</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c r="A18" s="1854"/>
      <c r="B18" s="1855"/>
      <c r="C18" s="36">
        <v>2015</v>
      </c>
      <c r="D18" s="37">
        <v>12</v>
      </c>
      <c r="E18" s="38">
        <v>4</v>
      </c>
      <c r="F18" s="38">
        <v>2</v>
      </c>
      <c r="G18" s="32">
        <f>SUM(D18:F18)</f>
        <v>18</v>
      </c>
      <c r="H18" s="39"/>
      <c r="I18" s="339">
        <v>2</v>
      </c>
      <c r="J18" s="339"/>
      <c r="K18" s="339">
        <v>2</v>
      </c>
      <c r="L18" s="339">
        <v>3</v>
      </c>
      <c r="M18" s="339"/>
      <c r="N18" s="339"/>
      <c r="O18" s="340">
        <v>11</v>
      </c>
      <c r="P18" s="35"/>
      <c r="Q18" s="35"/>
      <c r="R18" s="35"/>
      <c r="S18" s="35"/>
      <c r="T18" s="35"/>
      <c r="U18" s="35"/>
      <c r="V18" s="35"/>
      <c r="W18" s="35"/>
      <c r="X18" s="35"/>
      <c r="Y18" s="35"/>
    </row>
    <row r="19" spans="1:25">
      <c r="A19" s="1854"/>
      <c r="B19" s="1855"/>
      <c r="C19" s="36">
        <v>2016</v>
      </c>
      <c r="D19" s="460">
        <v>26</v>
      </c>
      <c r="E19" s="342">
        <v>12</v>
      </c>
      <c r="F19" s="342">
        <v>7</v>
      </c>
      <c r="G19" s="32">
        <f t="shared" si="0"/>
        <v>45</v>
      </c>
      <c r="H19" s="577"/>
      <c r="I19" s="578">
        <v>17</v>
      </c>
      <c r="J19" s="578">
        <v>7</v>
      </c>
      <c r="K19" s="578">
        <v>13</v>
      </c>
      <c r="L19" s="578"/>
      <c r="M19" s="578">
        <v>6</v>
      </c>
      <c r="N19" s="578"/>
      <c r="O19" s="579">
        <v>2</v>
      </c>
      <c r="P19" s="35"/>
      <c r="Q19" s="35"/>
      <c r="R19" s="35"/>
      <c r="S19" s="35"/>
      <c r="T19" s="35"/>
      <c r="U19" s="35"/>
      <c r="V19" s="35"/>
      <c r="W19" s="35"/>
      <c r="X19" s="35"/>
      <c r="Y19" s="35"/>
    </row>
    <row r="20" spans="1:25">
      <c r="A20" s="1854"/>
      <c r="B20" s="1855"/>
      <c r="C20" s="36">
        <v>2017</v>
      </c>
      <c r="D20" s="37">
        <f>8+15</f>
        <v>23</v>
      </c>
      <c r="E20" s="38">
        <f>6+5+2</f>
        <v>13</v>
      </c>
      <c r="F20" s="38">
        <f>2+1</f>
        <v>3</v>
      </c>
      <c r="G20" s="32">
        <f t="shared" si="0"/>
        <v>39</v>
      </c>
      <c r="H20" s="39"/>
      <c r="I20" s="580">
        <f>10+6</f>
        <v>16</v>
      </c>
      <c r="J20" s="580">
        <v>1</v>
      </c>
      <c r="K20" s="580">
        <f>6+5+4+1+1</f>
        <v>17</v>
      </c>
      <c r="L20" s="580">
        <f>3+1</f>
        <v>4</v>
      </c>
      <c r="M20" s="580"/>
      <c r="N20" s="580"/>
      <c r="O20" s="581">
        <v>1</v>
      </c>
      <c r="P20" s="35"/>
      <c r="Q20" s="35"/>
      <c r="R20" s="35"/>
      <c r="S20" s="35"/>
      <c r="T20" s="35"/>
      <c r="U20" s="35"/>
      <c r="V20" s="35"/>
      <c r="W20" s="35"/>
      <c r="X20" s="35"/>
      <c r="Y20" s="35"/>
    </row>
    <row r="21" spans="1:25">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37.44999999999999" customHeight="1" thickBot="1">
      <c r="A24" s="1856"/>
      <c r="B24" s="1857"/>
      <c r="C24" s="42" t="s">
        <v>13</v>
      </c>
      <c r="D24" s="43">
        <f>SUM(D17:D23)</f>
        <v>61</v>
      </c>
      <c r="E24" s="44">
        <f>SUM(E17:E23)</f>
        <v>29</v>
      </c>
      <c r="F24" s="44">
        <f>SUM(F17:F23)</f>
        <v>12</v>
      </c>
      <c r="G24" s="45">
        <f>SUM(D24:F24)</f>
        <v>102</v>
      </c>
      <c r="H24" s="46">
        <f>SUM(H17:H23)</f>
        <v>0</v>
      </c>
      <c r="I24" s="47">
        <f>SUM(I17:I23)</f>
        <v>35</v>
      </c>
      <c r="J24" s="47">
        <f t="shared" ref="J24:N24" si="1">SUM(J17:J23)</f>
        <v>8</v>
      </c>
      <c r="K24" s="47">
        <f t="shared" si="1"/>
        <v>32</v>
      </c>
      <c r="L24" s="47">
        <f t="shared" si="1"/>
        <v>7</v>
      </c>
      <c r="M24" s="47">
        <f t="shared" si="1"/>
        <v>6</v>
      </c>
      <c r="N24" s="47">
        <f t="shared" si="1"/>
        <v>0</v>
      </c>
      <c r="O24" s="48">
        <f>SUM(O17:O23)</f>
        <v>14</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15" customHeight="1">
      <c r="A28" s="1874" t="s">
        <v>253</v>
      </c>
      <c r="B28" s="1855"/>
      <c r="C28" s="57">
        <v>2014</v>
      </c>
      <c r="D28" s="33"/>
      <c r="E28" s="31"/>
      <c r="F28" s="31"/>
      <c r="G28" s="58">
        <f>SUM(D28:F28)</f>
        <v>0</v>
      </c>
      <c r="H28" s="35"/>
      <c r="I28" s="35"/>
      <c r="J28" s="35"/>
      <c r="K28" s="35"/>
      <c r="L28" s="35"/>
      <c r="M28" s="35"/>
      <c r="N28" s="35"/>
      <c r="O28" s="35"/>
      <c r="P28" s="35"/>
      <c r="Q28" s="7"/>
    </row>
    <row r="29" spans="1:25">
      <c r="A29" s="1854"/>
      <c r="B29" s="1855"/>
      <c r="C29" s="59">
        <v>2015</v>
      </c>
      <c r="D29" s="582">
        <v>21402</v>
      </c>
      <c r="E29" s="38">
        <v>60090</v>
      </c>
      <c r="F29" s="38">
        <v>28</v>
      </c>
      <c r="G29" s="58">
        <f t="shared" ref="G29:G35" si="2">SUM(D29:F29)</f>
        <v>81520</v>
      </c>
      <c r="H29" s="35"/>
      <c r="I29" s="35"/>
      <c r="J29" s="35"/>
      <c r="K29" s="35"/>
      <c r="L29" s="35"/>
      <c r="M29" s="35"/>
      <c r="N29" s="35"/>
      <c r="O29" s="35"/>
      <c r="P29" s="35"/>
      <c r="Q29" s="7"/>
    </row>
    <row r="30" spans="1:25">
      <c r="A30" s="1854"/>
      <c r="B30" s="1855"/>
      <c r="C30" s="59">
        <v>2016</v>
      </c>
      <c r="D30" s="582">
        <v>13131</v>
      </c>
      <c r="E30" s="578">
        <v>123748</v>
      </c>
      <c r="F30" s="578">
        <v>90424</v>
      </c>
      <c r="G30" s="58">
        <f t="shared" si="2"/>
        <v>227303</v>
      </c>
      <c r="H30" s="35"/>
      <c r="I30" s="35"/>
      <c r="J30" s="35"/>
      <c r="K30" s="35"/>
      <c r="L30" s="35"/>
      <c r="M30" s="35"/>
      <c r="N30" s="35"/>
      <c r="O30" s="35"/>
      <c r="P30" s="35"/>
      <c r="Q30" s="7"/>
    </row>
    <row r="31" spans="1:25">
      <c r="A31" s="1854"/>
      <c r="B31" s="1855"/>
      <c r="C31" s="59">
        <v>2017</v>
      </c>
      <c r="D31" s="583">
        <f>23500+1729</f>
        <v>25229</v>
      </c>
      <c r="E31" s="38">
        <f>155000+10000+108</f>
        <v>165108</v>
      </c>
      <c r="F31" s="38">
        <f>90000+621</f>
        <v>90621</v>
      </c>
      <c r="G31" s="58">
        <f t="shared" si="2"/>
        <v>280958</v>
      </c>
      <c r="H31" s="35"/>
      <c r="I31" s="35"/>
      <c r="J31" s="35"/>
      <c r="K31" s="35"/>
      <c r="L31" s="35"/>
      <c r="M31" s="35"/>
      <c r="N31" s="35"/>
      <c r="O31" s="35"/>
      <c r="P31" s="35"/>
      <c r="Q31" s="7"/>
    </row>
    <row r="32" spans="1:25">
      <c r="A32" s="1854"/>
      <c r="B32" s="1855"/>
      <c r="C32" s="59">
        <v>2018</v>
      </c>
      <c r="D32" s="39"/>
      <c r="E32" s="38"/>
      <c r="F32" s="38"/>
      <c r="G32" s="58">
        <f>SUM(D32:F32)</f>
        <v>0</v>
      </c>
      <c r="H32" s="35"/>
      <c r="I32" s="35"/>
      <c r="J32" s="35"/>
      <c r="K32" s="35"/>
      <c r="L32" s="35"/>
      <c r="M32" s="35"/>
      <c r="N32" s="35"/>
      <c r="O32" s="35"/>
      <c r="P32" s="35"/>
      <c r="Q32" s="7"/>
    </row>
    <row r="33" spans="1:17">
      <c r="A33" s="1854"/>
      <c r="B33" s="1855"/>
      <c r="C33" s="60">
        <v>2019</v>
      </c>
      <c r="D33" s="39"/>
      <c r="E33" s="38"/>
      <c r="F33" s="38"/>
      <c r="G33" s="58">
        <f t="shared" si="2"/>
        <v>0</v>
      </c>
      <c r="H33" s="35"/>
      <c r="I33" s="35"/>
      <c r="J33" s="35"/>
      <c r="K33" s="35"/>
      <c r="L33" s="35"/>
      <c r="M33" s="35"/>
      <c r="N33" s="35"/>
      <c r="O33" s="35"/>
      <c r="P33" s="35"/>
      <c r="Q33" s="7"/>
    </row>
    <row r="34" spans="1:17">
      <c r="A34" s="1854"/>
      <c r="B34" s="1855"/>
      <c r="C34" s="59">
        <v>2020</v>
      </c>
      <c r="D34" s="39"/>
      <c r="E34" s="38"/>
      <c r="F34" s="38"/>
      <c r="G34" s="58">
        <f t="shared" si="2"/>
        <v>0</v>
      </c>
      <c r="H34" s="35"/>
      <c r="I34" s="35"/>
      <c r="J34" s="35"/>
      <c r="K34" s="35"/>
      <c r="L34" s="35"/>
      <c r="M34" s="35"/>
      <c r="N34" s="35"/>
      <c r="O34" s="35"/>
      <c r="P34" s="35"/>
      <c r="Q34" s="7"/>
    </row>
    <row r="35" spans="1:17" ht="160.9" customHeight="1" thickBot="1">
      <c r="A35" s="1856"/>
      <c r="B35" s="1857"/>
      <c r="C35" s="61" t="s">
        <v>13</v>
      </c>
      <c r="D35" s="46">
        <f>SUM(D28:D34)</f>
        <v>59762</v>
      </c>
      <c r="E35" s="44">
        <f>SUM(E28:E34)</f>
        <v>348946</v>
      </c>
      <c r="F35" s="44">
        <f>SUM(F28:F34)</f>
        <v>181073</v>
      </c>
      <c r="G35" s="48">
        <f t="shared" si="2"/>
        <v>589781</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1874"/>
      <c r="B40" s="1855"/>
      <c r="C40" s="72">
        <v>2014</v>
      </c>
      <c r="D40" s="30"/>
      <c r="E40" s="29"/>
      <c r="F40" s="7"/>
      <c r="G40" s="35"/>
      <c r="H40" s="35"/>
    </row>
    <row r="41" spans="1:17">
      <c r="A41" s="1854"/>
      <c r="B41" s="1855"/>
      <c r="C41" s="73">
        <v>2015</v>
      </c>
      <c r="D41" s="37">
        <v>27704</v>
      </c>
      <c r="E41" s="36">
        <v>6412</v>
      </c>
      <c r="F41" s="7"/>
      <c r="G41" s="35"/>
      <c r="H41" s="35"/>
    </row>
    <row r="42" spans="1:17">
      <c r="A42" s="1854"/>
      <c r="B42" s="1855"/>
      <c r="C42" s="73">
        <v>2016</v>
      </c>
      <c r="D42" s="584">
        <v>24267</v>
      </c>
      <c r="E42" s="585">
        <v>13971</v>
      </c>
      <c r="F42" s="7"/>
      <c r="G42" s="35"/>
      <c r="H42" s="35"/>
    </row>
    <row r="43" spans="1:17">
      <c r="A43" s="1854"/>
      <c r="B43" s="1855"/>
      <c r="C43" s="73">
        <v>2017</v>
      </c>
      <c r="D43" s="37">
        <v>39533</v>
      </c>
      <c r="E43" s="36">
        <v>16301</v>
      </c>
      <c r="F43" s="7"/>
      <c r="G43" s="35"/>
      <c r="H43" s="35"/>
    </row>
    <row r="44" spans="1:17">
      <c r="A44" s="1854"/>
      <c r="B44" s="1855"/>
      <c r="C44" s="73">
        <v>2018</v>
      </c>
      <c r="D44" s="37"/>
      <c r="E44" s="36"/>
      <c r="F44" s="7"/>
      <c r="G44" s="35"/>
      <c r="H44" s="35"/>
    </row>
    <row r="45" spans="1:17">
      <c r="A45" s="1854"/>
      <c r="B45" s="1855"/>
      <c r="C45" s="73">
        <v>2019</v>
      </c>
      <c r="D45" s="37"/>
      <c r="E45" s="36"/>
      <c r="F45" s="7"/>
      <c r="G45" s="35"/>
      <c r="H45" s="35"/>
    </row>
    <row r="46" spans="1:17">
      <c r="A46" s="1854"/>
      <c r="B46" s="1855"/>
      <c r="C46" s="73">
        <v>2020</v>
      </c>
      <c r="D46" s="37"/>
      <c r="E46" s="36"/>
      <c r="F46" s="7"/>
      <c r="G46" s="35"/>
      <c r="H46" s="35"/>
    </row>
    <row r="47" spans="1:17" ht="15.75" thickBot="1">
      <c r="A47" s="1856"/>
      <c r="B47" s="1857"/>
      <c r="C47" s="42" t="s">
        <v>13</v>
      </c>
      <c r="D47" s="43">
        <f>SUM(D40:D46)</f>
        <v>91504</v>
      </c>
      <c r="E47" s="455">
        <f>SUM(E40:E46)</f>
        <v>36684</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v>1</v>
      </c>
      <c r="E53" s="38">
        <v>1</v>
      </c>
      <c r="F53" s="38"/>
      <c r="G53" s="38">
        <v>10127</v>
      </c>
      <c r="H53" s="38"/>
      <c r="I53" s="38"/>
      <c r="J53" s="38">
        <v>231</v>
      </c>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1</v>
      </c>
      <c r="E58" s="44">
        <f>SUM(E51:E57)</f>
        <v>1</v>
      </c>
      <c r="F58" s="44">
        <f>SUM(F51:F57)</f>
        <v>0</v>
      </c>
      <c r="G58" s="44">
        <f>SUM(G51:G57)</f>
        <v>10127</v>
      </c>
      <c r="H58" s="44">
        <f>SUM(H51:H57)</f>
        <v>0</v>
      </c>
      <c r="I58" s="44">
        <f t="shared" ref="I58" si="3">SUM(I51:I57)</f>
        <v>0</v>
      </c>
      <c r="J58" s="44">
        <f>SUM(J51:J57)</f>
        <v>231</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32.7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t="s">
        <v>254</v>
      </c>
      <c r="B62" s="1899"/>
      <c r="C62" s="106">
        <v>2014</v>
      </c>
      <c r="D62" s="107"/>
      <c r="E62" s="108"/>
      <c r="F62" s="109"/>
      <c r="G62" s="109"/>
      <c r="H62" s="109"/>
      <c r="I62" s="109"/>
      <c r="J62" s="109"/>
      <c r="K62" s="109"/>
      <c r="L62" s="34"/>
      <c r="M62" s="7"/>
      <c r="N62" s="7"/>
      <c r="O62" s="7"/>
    </row>
    <row r="63" spans="1:15">
      <c r="A63" s="1891"/>
      <c r="B63" s="1899"/>
      <c r="C63" s="110">
        <v>2015</v>
      </c>
      <c r="D63" s="111">
        <v>14</v>
      </c>
      <c r="E63" s="112"/>
      <c r="F63" s="38">
        <v>3</v>
      </c>
      <c r="G63" s="38"/>
      <c r="H63" s="38">
        <v>1</v>
      </c>
      <c r="I63" s="38"/>
      <c r="J63" s="38"/>
      <c r="K63" s="38"/>
      <c r="L63" s="88">
        <v>10</v>
      </c>
      <c r="M63" s="7"/>
      <c r="N63" s="7"/>
      <c r="O63" s="7"/>
    </row>
    <row r="64" spans="1:15">
      <c r="A64" s="1891"/>
      <c r="B64" s="1899"/>
      <c r="C64" s="110">
        <v>2016</v>
      </c>
      <c r="D64" s="342">
        <f>19+35+10+2</f>
        <v>66</v>
      </c>
      <c r="E64" s="586"/>
      <c r="F64" s="342">
        <v>5</v>
      </c>
      <c r="G64" s="339">
        <v>5</v>
      </c>
      <c r="H64" s="339">
        <v>7</v>
      </c>
      <c r="I64" s="339"/>
      <c r="J64" s="339"/>
      <c r="K64" s="339"/>
      <c r="L64" s="343">
        <f>2+35+10+2</f>
        <v>49</v>
      </c>
      <c r="M64" s="7"/>
      <c r="N64" s="7"/>
      <c r="O64" s="7"/>
    </row>
    <row r="65" spans="1:20">
      <c r="A65" s="1891"/>
      <c r="B65" s="1899"/>
      <c r="C65" s="110">
        <v>2017</v>
      </c>
      <c r="D65" s="111">
        <f>16+16+10+1+1+1+3</f>
        <v>48</v>
      </c>
      <c r="E65" s="112"/>
      <c r="F65" s="38">
        <v>1</v>
      </c>
      <c r="G65" s="38"/>
      <c r="H65" s="38">
        <v>5</v>
      </c>
      <c r="I65" s="38"/>
      <c r="J65" s="38"/>
      <c r="K65" s="38"/>
      <c r="L65" s="88">
        <f>16+16+10</f>
        <v>42</v>
      </c>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128</v>
      </c>
      <c r="E69" s="115">
        <f>SUM(E62:E68)</f>
        <v>0</v>
      </c>
      <c r="F69" s="116">
        <f t="shared" ref="F69:I69" si="4">SUM(F62:F68)</f>
        <v>9</v>
      </c>
      <c r="G69" s="116">
        <f t="shared" si="4"/>
        <v>5</v>
      </c>
      <c r="H69" s="116">
        <f t="shared" si="4"/>
        <v>13</v>
      </c>
      <c r="I69" s="116">
        <f t="shared" si="4"/>
        <v>0</v>
      </c>
      <c r="J69" s="116"/>
      <c r="K69" s="116">
        <f>SUM(K62:K68)</f>
        <v>0</v>
      </c>
      <c r="L69" s="117">
        <f>SUM(L62:L68)</f>
        <v>101</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t="s">
        <v>255</v>
      </c>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c r="F73" s="135"/>
      <c r="G73" s="132">
        <f t="shared" ref="G73:G78" si="5">SUM(D73:F73)</f>
        <v>0</v>
      </c>
      <c r="H73" s="37"/>
      <c r="I73" s="37"/>
      <c r="J73" s="38"/>
      <c r="K73" s="38"/>
      <c r="L73" s="38"/>
      <c r="M73" s="38"/>
      <c r="N73" s="38"/>
      <c r="O73" s="88"/>
    </row>
    <row r="74" spans="1:20">
      <c r="A74" s="1854"/>
      <c r="B74" s="1899"/>
      <c r="C74" s="73">
        <v>2016</v>
      </c>
      <c r="D74" s="135">
        <v>25</v>
      </c>
      <c r="E74" s="587">
        <v>8</v>
      </c>
      <c r="F74" s="459"/>
      <c r="G74" s="132">
        <f t="shared" si="5"/>
        <v>33</v>
      </c>
      <c r="H74" s="37"/>
      <c r="I74" s="584">
        <v>4</v>
      </c>
      <c r="J74" s="38">
        <v>3</v>
      </c>
      <c r="K74" s="38">
        <f>5+6</f>
        <v>11</v>
      </c>
      <c r="L74" s="38"/>
      <c r="M74" s="38"/>
      <c r="N74" s="38"/>
      <c r="O74" s="343">
        <v>15</v>
      </c>
    </row>
    <row r="75" spans="1:20">
      <c r="A75" s="1854"/>
      <c r="B75" s="1899"/>
      <c r="C75" s="73">
        <v>2017</v>
      </c>
      <c r="D75" s="135">
        <v>0</v>
      </c>
      <c r="E75" s="588">
        <v>13</v>
      </c>
      <c r="F75" s="135">
        <v>2</v>
      </c>
      <c r="G75" s="132">
        <f t="shared" si="5"/>
        <v>15</v>
      </c>
      <c r="H75" s="37"/>
      <c r="I75" s="37">
        <v>5</v>
      </c>
      <c r="J75" s="38"/>
      <c r="K75" s="38">
        <v>8</v>
      </c>
      <c r="L75" s="38"/>
      <c r="M75" s="38"/>
      <c r="N75" s="38"/>
      <c r="O75" s="88">
        <v>2</v>
      </c>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25</v>
      </c>
      <c r="E79" s="114">
        <f>SUM(E72:E78)</f>
        <v>21</v>
      </c>
      <c r="F79" s="114">
        <f>SUM(F72:F78)</f>
        <v>2</v>
      </c>
      <c r="G79" s="137">
        <f>SUM(G72:G78)</f>
        <v>48</v>
      </c>
      <c r="H79" s="138">
        <v>0</v>
      </c>
      <c r="I79" s="139">
        <f t="shared" ref="I79:O79" si="6">SUM(I72:I78)</f>
        <v>9</v>
      </c>
      <c r="J79" s="116">
        <f t="shared" si="6"/>
        <v>3</v>
      </c>
      <c r="K79" s="116">
        <f t="shared" si="6"/>
        <v>19</v>
      </c>
      <c r="L79" s="116">
        <f t="shared" si="6"/>
        <v>0</v>
      </c>
      <c r="M79" s="116">
        <f t="shared" si="6"/>
        <v>0</v>
      </c>
      <c r="N79" s="116">
        <f t="shared" si="6"/>
        <v>0</v>
      </c>
      <c r="O79" s="117">
        <f t="shared" si="6"/>
        <v>17</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28.25"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9"/>
      <c r="B85" s="1899"/>
      <c r="C85" s="72">
        <v>2014</v>
      </c>
      <c r="D85" s="154"/>
      <c r="E85" s="155"/>
      <c r="F85" s="31"/>
      <c r="G85" s="31"/>
      <c r="H85" s="31"/>
      <c r="I85" s="31"/>
      <c r="J85" s="31"/>
      <c r="K85" s="34"/>
    </row>
    <row r="86" spans="1:16">
      <c r="A86" s="1939"/>
      <c r="B86" s="1899"/>
      <c r="C86" s="73">
        <v>2015</v>
      </c>
      <c r="D86" s="156"/>
      <c r="E86" s="112"/>
      <c r="F86" s="38"/>
      <c r="G86" s="38"/>
      <c r="H86" s="38"/>
      <c r="I86" s="38"/>
      <c r="J86" s="38"/>
      <c r="K86" s="88"/>
    </row>
    <row r="87" spans="1:16">
      <c r="A87" s="1939"/>
      <c r="B87" s="1899"/>
      <c r="C87" s="73">
        <v>2016</v>
      </c>
      <c r="D87" s="589"/>
      <c r="E87" s="112"/>
      <c r="F87" s="38"/>
      <c r="G87" s="578"/>
      <c r="H87" s="578"/>
      <c r="I87" s="578"/>
      <c r="J87" s="345"/>
      <c r="K87" s="397"/>
    </row>
    <row r="88" spans="1:16">
      <c r="A88" s="1939"/>
      <c r="B88" s="1899"/>
      <c r="C88" s="73">
        <v>2017</v>
      </c>
      <c r="D88" s="156"/>
      <c r="E88" s="112"/>
      <c r="F88" s="38"/>
      <c r="G88" s="38"/>
      <c r="H88" s="38"/>
      <c r="I88" s="38"/>
      <c r="J88" s="38"/>
      <c r="K88" s="88"/>
    </row>
    <row r="89" spans="1:16">
      <c r="A89" s="1939"/>
      <c r="B89" s="1899"/>
      <c r="C89" s="73">
        <v>2018</v>
      </c>
      <c r="D89" s="156"/>
      <c r="E89" s="112"/>
      <c r="F89" s="38"/>
      <c r="G89" s="38"/>
      <c r="H89" s="38"/>
      <c r="I89" s="38"/>
      <c r="J89" s="38"/>
      <c r="K89" s="88"/>
    </row>
    <row r="90" spans="1:16">
      <c r="A90" s="1939"/>
      <c r="B90" s="1899"/>
      <c r="C90" s="73">
        <v>2019</v>
      </c>
      <c r="D90" s="156"/>
      <c r="E90" s="112"/>
      <c r="F90" s="38"/>
      <c r="G90" s="38"/>
      <c r="H90" s="38"/>
      <c r="I90" s="38"/>
      <c r="J90" s="38"/>
      <c r="K90" s="88"/>
    </row>
    <row r="91" spans="1:16">
      <c r="A91" s="1939"/>
      <c r="B91" s="1899"/>
      <c r="C91" s="73">
        <v>2020</v>
      </c>
      <c r="D91" s="156"/>
      <c r="E91" s="112"/>
      <c r="F91" s="38"/>
      <c r="G91" s="38"/>
      <c r="H91" s="38"/>
      <c r="I91" s="38"/>
      <c r="J91" s="38"/>
      <c r="K91" s="88"/>
    </row>
    <row r="92" spans="1:16" ht="18" customHeight="1" thickBot="1">
      <c r="A92" s="1940"/>
      <c r="B92" s="1900"/>
      <c r="C92" s="136" t="s">
        <v>13</v>
      </c>
      <c r="D92" s="157">
        <f t="shared" ref="D92:I92" si="7">SUM(D85:D91)</f>
        <v>0</v>
      </c>
      <c r="E92" s="115">
        <f t="shared" si="7"/>
        <v>0</v>
      </c>
      <c r="F92" s="116">
        <f t="shared" si="7"/>
        <v>0</v>
      </c>
      <c r="G92" s="116">
        <f t="shared" si="7"/>
        <v>0</v>
      </c>
      <c r="H92" s="116">
        <f t="shared" si="7"/>
        <v>0</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1898" t="s">
        <v>256</v>
      </c>
      <c r="B98" s="1899"/>
      <c r="C98" s="106">
        <v>2014</v>
      </c>
      <c r="D98" s="30"/>
      <c r="E98" s="31"/>
      <c r="F98" s="174"/>
      <c r="G98" s="175"/>
      <c r="H98" s="175"/>
      <c r="I98" s="175"/>
      <c r="J98" s="175"/>
      <c r="K98" s="175"/>
      <c r="L98" s="175"/>
      <c r="M98" s="176"/>
      <c r="N98" s="165"/>
      <c r="O98" s="165"/>
      <c r="P98" s="165"/>
    </row>
    <row r="99" spans="1:16" ht="16.5" customHeight="1">
      <c r="A99" s="1891"/>
      <c r="B99" s="1899"/>
      <c r="C99" s="110">
        <v>2015</v>
      </c>
      <c r="D99" s="37">
        <v>1</v>
      </c>
      <c r="E99" s="38">
        <v>1</v>
      </c>
      <c r="F99" s="177"/>
      <c r="G99" s="178"/>
      <c r="H99" s="178"/>
      <c r="I99" s="178"/>
      <c r="J99" s="178"/>
      <c r="K99" s="178"/>
      <c r="L99" s="178"/>
      <c r="M99" s="179">
        <v>1</v>
      </c>
      <c r="N99" s="165"/>
      <c r="O99" s="165"/>
      <c r="P99" s="165"/>
    </row>
    <row r="100" spans="1:16" ht="16.5" customHeight="1">
      <c r="A100" s="1891"/>
      <c r="B100" s="1899"/>
      <c r="C100" s="110">
        <v>2016</v>
      </c>
      <c r="D100" s="584">
        <v>1</v>
      </c>
      <c r="E100" s="578">
        <v>7</v>
      </c>
      <c r="F100" s="177"/>
      <c r="G100" s="178"/>
      <c r="H100" s="178"/>
      <c r="I100" s="178"/>
      <c r="J100" s="178"/>
      <c r="K100" s="178"/>
      <c r="L100" s="178"/>
      <c r="M100" s="179">
        <v>1</v>
      </c>
      <c r="N100" s="165"/>
      <c r="O100" s="165"/>
      <c r="P100" s="165"/>
    </row>
    <row r="101" spans="1:16" ht="16.5" customHeight="1">
      <c r="A101" s="1891"/>
      <c r="B101" s="1899"/>
      <c r="C101" s="110">
        <v>2017</v>
      </c>
      <c r="D101" s="37">
        <v>1</v>
      </c>
      <c r="E101" s="38">
        <v>5</v>
      </c>
      <c r="F101" s="177"/>
      <c r="G101" s="178"/>
      <c r="H101" s="178"/>
      <c r="I101" s="178"/>
      <c r="J101" s="178"/>
      <c r="K101" s="178"/>
      <c r="L101" s="178"/>
      <c r="M101" s="179">
        <v>1</v>
      </c>
      <c r="N101" s="165"/>
      <c r="O101" s="165"/>
      <c r="P101" s="165"/>
    </row>
    <row r="102" spans="1:16" ht="15.75" customHeight="1">
      <c r="A102" s="1891"/>
      <c r="B102" s="1899"/>
      <c r="C102" s="110">
        <v>2018</v>
      </c>
      <c r="D102" s="37"/>
      <c r="E102" s="38"/>
      <c r="F102" s="177"/>
      <c r="G102" s="178"/>
      <c r="H102" s="178"/>
      <c r="I102" s="178"/>
      <c r="J102" s="178"/>
      <c r="K102" s="178"/>
      <c r="L102" s="178"/>
      <c r="M102" s="179"/>
      <c r="N102" s="165"/>
      <c r="O102" s="165"/>
      <c r="P102" s="165"/>
    </row>
    <row r="103" spans="1:16" ht="14.25" customHeight="1">
      <c r="A103" s="1891"/>
      <c r="B103" s="1899"/>
      <c r="C103" s="110">
        <v>2019</v>
      </c>
      <c r="D103" s="37"/>
      <c r="E103" s="38"/>
      <c r="F103" s="177"/>
      <c r="G103" s="178"/>
      <c r="H103" s="178"/>
      <c r="I103" s="178"/>
      <c r="J103" s="178"/>
      <c r="K103" s="178"/>
      <c r="L103" s="178"/>
      <c r="M103" s="179"/>
      <c r="N103" s="165"/>
      <c r="O103" s="165"/>
      <c r="P103" s="165"/>
    </row>
    <row r="104" spans="1:16" ht="14.25" customHeight="1">
      <c r="A104" s="1891"/>
      <c r="B104" s="1899"/>
      <c r="C104" s="110">
        <v>2020</v>
      </c>
      <c r="D104" s="37"/>
      <c r="E104" s="38"/>
      <c r="F104" s="177"/>
      <c r="G104" s="178"/>
      <c r="H104" s="178"/>
      <c r="I104" s="178"/>
      <c r="J104" s="178"/>
      <c r="K104" s="178"/>
      <c r="L104" s="178"/>
      <c r="M104" s="179"/>
      <c r="N104" s="165"/>
      <c r="O104" s="165"/>
      <c r="P104" s="165"/>
    </row>
    <row r="105" spans="1:16" ht="19.5" customHeight="1" thickBot="1">
      <c r="A105" s="1915"/>
      <c r="B105" s="1900"/>
      <c r="C105" s="113" t="s">
        <v>13</v>
      </c>
      <c r="D105" s="139">
        <f>SUM(D98:D104)</f>
        <v>3</v>
      </c>
      <c r="E105" s="116">
        <f t="shared" ref="E105:K105" si="8">SUM(E98:E104)</f>
        <v>13</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578"/>
      <c r="E111" s="590"/>
      <c r="F111" s="578"/>
      <c r="G111" s="578"/>
      <c r="H111" s="578"/>
      <c r="I111" s="578"/>
      <c r="J111" s="578"/>
      <c r="K111" s="578"/>
      <c r="L111" s="179"/>
      <c r="M111" s="185"/>
      <c r="N111" s="185"/>
    </row>
    <row r="112" spans="1:16">
      <c r="A112" s="1891"/>
      <c r="B112" s="1899"/>
      <c r="C112" s="110">
        <v>2017</v>
      </c>
      <c r="D112" s="38"/>
      <c r="E112" s="177"/>
      <c r="F112" s="178"/>
      <c r="G112" s="178"/>
      <c r="H112" s="178"/>
      <c r="I112" s="178"/>
      <c r="J112" s="178"/>
      <c r="K112" s="178"/>
      <c r="L112" s="179"/>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0</v>
      </c>
      <c r="E116" s="180">
        <f t="shared" si="9"/>
        <v>0</v>
      </c>
      <c r="F116" s="181">
        <f t="shared" si="9"/>
        <v>0</v>
      </c>
      <c r="G116" s="181">
        <f t="shared" si="9"/>
        <v>0</v>
      </c>
      <c r="H116" s="181">
        <f t="shared" si="9"/>
        <v>0</v>
      </c>
      <c r="I116" s="181">
        <f t="shared" si="9"/>
        <v>0</v>
      </c>
      <c r="J116" s="181"/>
      <c r="K116" s="181">
        <f>SUM(K109:K115)</f>
        <v>0</v>
      </c>
      <c r="L116" s="182">
        <f>SUM(L109:L115)</f>
        <v>0</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1874" t="s">
        <v>257</v>
      </c>
      <c r="B131" s="1855"/>
      <c r="C131" s="591">
        <v>2015</v>
      </c>
      <c r="D131" s="460">
        <v>9</v>
      </c>
      <c r="E131" s="342"/>
      <c r="F131" s="342"/>
      <c r="G131" s="195">
        <f t="shared" ref="G131:G136" si="11">SUM(D131:F131)</f>
        <v>9</v>
      </c>
      <c r="H131" s="185"/>
      <c r="I131" s="185"/>
      <c r="J131" s="185"/>
      <c r="K131" s="185"/>
      <c r="L131" s="185"/>
      <c r="M131" s="185"/>
      <c r="N131" s="185"/>
    </row>
    <row r="132" spans="1:16">
      <c r="A132" s="1854"/>
      <c r="B132" s="1855"/>
      <c r="C132" s="110">
        <v>2016</v>
      </c>
      <c r="D132" s="460">
        <v>56</v>
      </c>
      <c r="E132" s="345"/>
      <c r="F132" s="38"/>
      <c r="G132" s="195">
        <f t="shared" si="11"/>
        <v>56</v>
      </c>
      <c r="H132" s="185"/>
      <c r="I132" s="185"/>
      <c r="J132" s="185"/>
      <c r="K132" s="185"/>
      <c r="L132" s="185"/>
      <c r="M132" s="185"/>
      <c r="N132" s="185"/>
    </row>
    <row r="133" spans="1:16">
      <c r="A133" s="1854"/>
      <c r="B133" s="1855"/>
      <c r="C133" s="110">
        <v>2017</v>
      </c>
      <c r="D133" s="584">
        <f>9+7+8+10+8</f>
        <v>42</v>
      </c>
      <c r="E133" s="38"/>
      <c r="F133" s="38"/>
      <c r="G133" s="195">
        <f t="shared" si="11"/>
        <v>42</v>
      </c>
      <c r="H133" s="185"/>
      <c r="I133" s="185"/>
      <c r="J133" s="185"/>
      <c r="K133" s="185"/>
      <c r="L133" s="185"/>
      <c r="M133" s="185"/>
      <c r="N133" s="185"/>
    </row>
    <row r="134" spans="1:16">
      <c r="A134" s="1854"/>
      <c r="B134" s="1855"/>
      <c r="C134" s="110">
        <v>2018</v>
      </c>
      <c r="D134" s="37"/>
      <c r="E134" s="38"/>
      <c r="F134" s="38"/>
      <c r="G134" s="195">
        <f t="shared" si="11"/>
        <v>0</v>
      </c>
      <c r="H134" s="185"/>
      <c r="I134" s="185"/>
      <c r="J134" s="185"/>
      <c r="K134" s="185"/>
      <c r="L134" s="185"/>
      <c r="M134" s="185"/>
      <c r="N134" s="185"/>
    </row>
    <row r="135" spans="1:16">
      <c r="A135" s="1854"/>
      <c r="B135" s="1855"/>
      <c r="C135" s="110">
        <v>2019</v>
      </c>
      <c r="D135" s="37"/>
      <c r="E135" s="38"/>
      <c r="F135" s="38"/>
      <c r="G135" s="195">
        <f t="shared" si="11"/>
        <v>0</v>
      </c>
      <c r="H135" s="185"/>
      <c r="I135" s="185"/>
      <c r="J135" s="185"/>
      <c r="K135" s="185"/>
      <c r="L135" s="185"/>
      <c r="M135" s="185"/>
      <c r="N135" s="185"/>
    </row>
    <row r="136" spans="1:16">
      <c r="A136" s="1854"/>
      <c r="B136" s="1855"/>
      <c r="C136" s="110">
        <v>2020</v>
      </c>
      <c r="D136" s="37"/>
      <c r="E136" s="38"/>
      <c r="F136" s="38"/>
      <c r="G136" s="195">
        <f t="shared" si="11"/>
        <v>0</v>
      </c>
      <c r="H136" s="185"/>
      <c r="I136" s="185"/>
      <c r="J136" s="185"/>
      <c r="K136" s="185"/>
      <c r="L136" s="185"/>
      <c r="M136" s="185"/>
      <c r="N136" s="185"/>
    </row>
    <row r="137" spans="1:16" ht="17.25" customHeight="1" thickBot="1">
      <c r="A137" s="1856"/>
      <c r="B137" s="1857"/>
      <c r="C137" s="113" t="s">
        <v>13</v>
      </c>
      <c r="D137" s="139">
        <f>SUM(D131:D136)</f>
        <v>107</v>
      </c>
      <c r="E137" s="139">
        <f t="shared" ref="E137:F137" si="12">SUM(E131:E136)</f>
        <v>0</v>
      </c>
      <c r="F137" s="139">
        <f t="shared" si="12"/>
        <v>0</v>
      </c>
      <c r="G137" s="196">
        <f>SUM(G131:G136)</f>
        <v>107</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1878"/>
      <c r="B165" s="1879"/>
      <c r="C165" s="251">
        <v>2014</v>
      </c>
      <c r="D165" s="175"/>
      <c r="E165" s="175"/>
      <c r="F165" s="175"/>
      <c r="G165" s="175"/>
      <c r="H165" s="175"/>
      <c r="I165" s="176"/>
      <c r="J165" s="252">
        <f>SUM(D165,F165,H165)</f>
        <v>0</v>
      </c>
      <c r="K165" s="253">
        <f>SUM(E165,G165,I165)</f>
        <v>0</v>
      </c>
      <c r="L165" s="406"/>
    </row>
    <row r="166" spans="1:18">
      <c r="A166" s="1880"/>
      <c r="B166" s="1881"/>
      <c r="C166" s="254">
        <v>2015</v>
      </c>
      <c r="D166" s="255"/>
      <c r="E166" s="255"/>
      <c r="F166" s="255"/>
      <c r="G166" s="255"/>
      <c r="H166" s="255"/>
      <c r="I166" s="256"/>
      <c r="J166" s="407">
        <f t="shared" ref="J166:K171" si="17">SUM(D166,F166,H166)</f>
        <v>0</v>
      </c>
      <c r="K166" s="408">
        <f t="shared" si="17"/>
        <v>0</v>
      </c>
      <c r="L166" s="406"/>
    </row>
    <row r="167" spans="1:18">
      <c r="A167" s="1880"/>
      <c r="B167" s="1881"/>
      <c r="C167" s="254">
        <v>2016</v>
      </c>
      <c r="D167" s="255"/>
      <c r="E167" s="255"/>
      <c r="F167" s="255"/>
      <c r="G167" s="255"/>
      <c r="H167" s="255"/>
      <c r="I167" s="256"/>
      <c r="J167" s="407">
        <f t="shared" si="17"/>
        <v>0</v>
      </c>
      <c r="K167" s="408">
        <f t="shared" si="17"/>
        <v>0</v>
      </c>
    </row>
    <row r="168" spans="1:18">
      <c r="A168" s="1880"/>
      <c r="B168" s="1881"/>
      <c r="C168" s="254">
        <v>2017</v>
      </c>
      <c r="D168" s="255"/>
      <c r="E168" s="165"/>
      <c r="F168" s="255"/>
      <c r="G168" s="255"/>
      <c r="H168" s="255"/>
      <c r="I168" s="256"/>
      <c r="J168" s="407">
        <f t="shared" si="17"/>
        <v>0</v>
      </c>
      <c r="K168" s="408">
        <f t="shared" si="17"/>
        <v>0</v>
      </c>
    </row>
    <row r="169" spans="1:18">
      <c r="A169" s="1880"/>
      <c r="B169" s="1881"/>
      <c r="C169" s="262">
        <v>2018</v>
      </c>
      <c r="D169" s="255"/>
      <c r="E169" s="255"/>
      <c r="F169" s="255"/>
      <c r="G169" s="263"/>
      <c r="H169" s="255"/>
      <c r="I169" s="256"/>
      <c r="J169" s="407">
        <f t="shared" si="17"/>
        <v>0</v>
      </c>
      <c r="K169" s="408">
        <f t="shared" si="17"/>
        <v>0</v>
      </c>
      <c r="L169" s="406"/>
    </row>
    <row r="170" spans="1:18">
      <c r="A170" s="1880"/>
      <c r="B170" s="1881"/>
      <c r="C170" s="254">
        <v>2019</v>
      </c>
      <c r="D170" s="165"/>
      <c r="E170" s="255"/>
      <c r="F170" s="255"/>
      <c r="G170" s="255"/>
      <c r="H170" s="263"/>
      <c r="I170" s="256"/>
      <c r="J170" s="407">
        <f t="shared" si="17"/>
        <v>0</v>
      </c>
      <c r="K170" s="408">
        <f t="shared" si="17"/>
        <v>0</v>
      </c>
      <c r="L170" s="406"/>
    </row>
    <row r="171" spans="1:18">
      <c r="A171" s="1880"/>
      <c r="B171" s="1881"/>
      <c r="C171" s="262">
        <v>2020</v>
      </c>
      <c r="D171" s="255"/>
      <c r="E171" s="255"/>
      <c r="F171" s="255"/>
      <c r="G171" s="255"/>
      <c r="H171" s="255"/>
      <c r="I171" s="256"/>
      <c r="J171" s="407">
        <f t="shared" si="17"/>
        <v>0</v>
      </c>
      <c r="K171" s="408">
        <f t="shared" si="17"/>
        <v>0</v>
      </c>
      <c r="L171" s="406"/>
    </row>
    <row r="172" spans="1:18" ht="41.25" customHeight="1" thickBot="1">
      <c r="A172" s="1882"/>
      <c r="B172" s="1883"/>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26.2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21.75"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15" customHeight="1">
      <c r="A178" s="1898" t="s">
        <v>258</v>
      </c>
      <c r="B178" s="1899"/>
      <c r="C178" s="106">
        <v>2014</v>
      </c>
      <c r="D178" s="30"/>
      <c r="E178" s="31"/>
      <c r="F178" s="31"/>
      <c r="G178" s="284">
        <f>SUM(D178:F178)</f>
        <v>0</v>
      </c>
      <c r="H178" s="155"/>
      <c r="I178" s="155"/>
      <c r="J178" s="31"/>
      <c r="K178" s="31"/>
      <c r="L178" s="31"/>
      <c r="M178" s="31"/>
      <c r="N178" s="31"/>
      <c r="O178" s="34"/>
    </row>
    <row r="179" spans="1:15">
      <c r="A179" s="1891"/>
      <c r="B179" s="1899"/>
      <c r="C179" s="110">
        <v>2015</v>
      </c>
      <c r="D179" s="37">
        <v>2</v>
      </c>
      <c r="E179" s="38">
        <v>4</v>
      </c>
      <c r="F179" s="38">
        <v>2</v>
      </c>
      <c r="G179" s="284">
        <f t="shared" ref="G179:G184" si="19">SUM(D179:F179)</f>
        <v>8</v>
      </c>
      <c r="H179" s="592">
        <v>18</v>
      </c>
      <c r="I179" s="590">
        <v>2</v>
      </c>
      <c r="J179" s="578">
        <v>2</v>
      </c>
      <c r="K179" s="578"/>
      <c r="L179" s="578">
        <v>1</v>
      </c>
      <c r="M179" s="578">
        <v>3</v>
      </c>
      <c r="N179" s="345"/>
      <c r="O179" s="593"/>
    </row>
    <row r="180" spans="1:15">
      <c r="A180" s="1891"/>
      <c r="B180" s="1899"/>
      <c r="C180" s="110">
        <v>2016</v>
      </c>
      <c r="D180" s="584">
        <v>16</v>
      </c>
      <c r="E180" s="578">
        <v>6</v>
      </c>
      <c r="F180" s="38">
        <v>1</v>
      </c>
      <c r="G180" s="284">
        <f t="shared" si="19"/>
        <v>23</v>
      </c>
      <c r="H180" s="592">
        <f>26+56</f>
        <v>82</v>
      </c>
      <c r="I180" s="586"/>
      <c r="J180" s="342">
        <v>5</v>
      </c>
      <c r="K180" s="342">
        <v>4</v>
      </c>
      <c r="L180" s="342">
        <f>3+4</f>
        <v>7</v>
      </c>
      <c r="M180" s="342">
        <v>6</v>
      </c>
      <c r="N180" s="578"/>
      <c r="O180" s="397">
        <v>1</v>
      </c>
    </row>
    <row r="181" spans="1:15">
      <c r="A181" s="1891"/>
      <c r="B181" s="1899"/>
      <c r="C181" s="110">
        <v>2017</v>
      </c>
      <c r="D181" s="37">
        <v>30</v>
      </c>
      <c r="E181" s="38">
        <v>10</v>
      </c>
      <c r="F181" s="38">
        <v>4</v>
      </c>
      <c r="G181" s="284">
        <f t="shared" si="19"/>
        <v>44</v>
      </c>
      <c r="H181" s="594">
        <v>86</v>
      </c>
      <c r="I181" s="112"/>
      <c r="J181" s="578">
        <v>17</v>
      </c>
      <c r="K181" s="578">
        <v>1</v>
      </c>
      <c r="L181" s="578">
        <v>17</v>
      </c>
      <c r="M181" s="578">
        <v>7</v>
      </c>
      <c r="N181" s="38"/>
      <c r="O181" s="88">
        <v>2</v>
      </c>
    </row>
    <row r="182" spans="1:15">
      <c r="A182" s="1891"/>
      <c r="B182" s="1899"/>
      <c r="C182" s="110">
        <v>2018</v>
      </c>
      <c r="D182" s="37"/>
      <c r="E182" s="38"/>
      <c r="F182" s="38"/>
      <c r="G182" s="284">
        <f t="shared" si="19"/>
        <v>0</v>
      </c>
      <c r="H182" s="411"/>
      <c r="I182" s="112"/>
      <c r="J182" s="38"/>
      <c r="K182" s="38"/>
      <c r="L182" s="38"/>
      <c r="M182" s="38"/>
      <c r="N182" s="38"/>
      <c r="O182" s="88"/>
    </row>
    <row r="183" spans="1:15">
      <c r="A183" s="1891"/>
      <c r="B183" s="1899"/>
      <c r="C183" s="110">
        <v>2019</v>
      </c>
      <c r="D183" s="37"/>
      <c r="E183" s="38"/>
      <c r="F183" s="38"/>
      <c r="G183" s="284">
        <f t="shared" si="19"/>
        <v>0</v>
      </c>
      <c r="H183" s="411"/>
      <c r="I183" s="112"/>
      <c r="J183" s="38"/>
      <c r="K183" s="38"/>
      <c r="L183" s="38"/>
      <c r="M183" s="38"/>
      <c r="N183" s="38"/>
      <c r="O183" s="88"/>
    </row>
    <row r="184" spans="1:15">
      <c r="A184" s="1891"/>
      <c r="B184" s="1899"/>
      <c r="C184" s="110">
        <v>2020</v>
      </c>
      <c r="D184" s="37"/>
      <c r="E184" s="38"/>
      <c r="F184" s="38"/>
      <c r="G184" s="284">
        <f t="shared" si="19"/>
        <v>0</v>
      </c>
      <c r="H184" s="411"/>
      <c r="I184" s="112"/>
      <c r="J184" s="38"/>
      <c r="K184" s="38"/>
      <c r="L184" s="38"/>
      <c r="M184" s="38"/>
      <c r="N184" s="38"/>
      <c r="O184" s="88"/>
    </row>
    <row r="185" spans="1:15" ht="45" customHeight="1" thickBot="1">
      <c r="A185" s="1893"/>
      <c r="B185" s="1900"/>
      <c r="C185" s="113" t="s">
        <v>13</v>
      </c>
      <c r="D185" s="139">
        <f>SUM(D178:D184)</f>
        <v>48</v>
      </c>
      <c r="E185" s="116">
        <f>SUM(E178:E184)</f>
        <v>20</v>
      </c>
      <c r="F185" s="116">
        <f>SUM(F178:F184)</f>
        <v>7</v>
      </c>
      <c r="G185" s="220">
        <f t="shared" ref="G185:O185" si="20">SUM(G178:G184)</f>
        <v>75</v>
      </c>
      <c r="H185" s="285">
        <f t="shared" si="20"/>
        <v>186</v>
      </c>
      <c r="I185" s="115">
        <f t="shared" si="20"/>
        <v>2</v>
      </c>
      <c r="J185" s="116">
        <f t="shared" si="20"/>
        <v>24</v>
      </c>
      <c r="K185" s="116">
        <f t="shared" si="20"/>
        <v>5</v>
      </c>
      <c r="L185" s="116">
        <f t="shared" si="20"/>
        <v>25</v>
      </c>
      <c r="M185" s="116">
        <f t="shared" si="20"/>
        <v>16</v>
      </c>
      <c r="N185" s="116">
        <f t="shared" si="20"/>
        <v>0</v>
      </c>
      <c r="O185" s="117">
        <f t="shared" si="20"/>
        <v>3</v>
      </c>
    </row>
    <row r="186" spans="1:15" ht="33"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5" customHeight="1">
      <c r="A189" s="1872" t="s">
        <v>259</v>
      </c>
      <c r="B189" s="2075"/>
      <c r="C189" s="290">
        <v>2014</v>
      </c>
      <c r="D189" s="133"/>
      <c r="E189" s="109"/>
      <c r="F189" s="109"/>
      <c r="G189" s="291">
        <f>SUM(D189:F189)</f>
        <v>0</v>
      </c>
      <c r="H189" s="108"/>
      <c r="I189" s="109"/>
      <c r="J189" s="109"/>
      <c r="K189" s="109"/>
      <c r="L189" s="134"/>
    </row>
    <row r="190" spans="1:15">
      <c r="A190" s="1874"/>
      <c r="B190" s="2076"/>
      <c r="C190" s="73">
        <v>2015</v>
      </c>
      <c r="D190" s="37">
        <v>182</v>
      </c>
      <c r="E190" s="38">
        <v>118</v>
      </c>
      <c r="F190" s="339">
        <v>176</v>
      </c>
      <c r="G190" s="291">
        <f t="shared" ref="G190:G195" si="21">SUM(D190:F190)</f>
        <v>476</v>
      </c>
      <c r="H190" s="112"/>
      <c r="I190" s="38">
        <v>173</v>
      </c>
      <c r="J190" s="38"/>
      <c r="K190" s="38"/>
      <c r="L190" s="88">
        <v>303</v>
      </c>
    </row>
    <row r="191" spans="1:15">
      <c r="A191" s="1874"/>
      <c r="B191" s="2076"/>
      <c r="C191" s="73">
        <v>2016</v>
      </c>
      <c r="D191" s="460">
        <v>2980</v>
      </c>
      <c r="E191" s="342">
        <v>161</v>
      </c>
      <c r="F191" s="339">
        <v>258</v>
      </c>
      <c r="G191" s="291">
        <f t="shared" si="21"/>
        <v>3399</v>
      </c>
      <c r="H191" s="112"/>
      <c r="I191" s="578">
        <v>226</v>
      </c>
      <c r="J191" s="578"/>
      <c r="K191" s="578"/>
      <c r="L191" s="397">
        <v>3173</v>
      </c>
    </row>
    <row r="192" spans="1:15">
      <c r="A192" s="1874"/>
      <c r="B192" s="2076"/>
      <c r="C192" s="73">
        <v>2017</v>
      </c>
      <c r="D192" s="595">
        <v>2121</v>
      </c>
      <c r="E192" s="38">
        <v>231</v>
      </c>
      <c r="F192" s="38">
        <f>262+75</f>
        <v>337</v>
      </c>
      <c r="G192" s="291">
        <f t="shared" si="21"/>
        <v>2689</v>
      </c>
      <c r="H192" s="112"/>
      <c r="I192" s="580">
        <v>306</v>
      </c>
      <c r="J192" s="580">
        <v>120</v>
      </c>
      <c r="K192" s="596"/>
      <c r="L192" s="396">
        <v>2263</v>
      </c>
    </row>
    <row r="193" spans="1:14">
      <c r="A193" s="1874"/>
      <c r="B193" s="2076"/>
      <c r="C193" s="73">
        <v>2018</v>
      </c>
      <c r="D193" s="37"/>
      <c r="E193" s="38"/>
      <c r="F193" s="38"/>
      <c r="G193" s="291">
        <f t="shared" si="21"/>
        <v>0</v>
      </c>
      <c r="H193" s="112"/>
      <c r="I193" s="38"/>
      <c r="J193" s="38"/>
      <c r="K193" s="38"/>
      <c r="L193" s="88"/>
    </row>
    <row r="194" spans="1:14">
      <c r="A194" s="1874"/>
      <c r="B194" s="2076"/>
      <c r="C194" s="73">
        <v>2019</v>
      </c>
      <c r="D194" s="37"/>
      <c r="E194" s="38"/>
      <c r="F194" s="38"/>
      <c r="G194" s="291">
        <f t="shared" si="21"/>
        <v>0</v>
      </c>
      <c r="H194" s="112"/>
      <c r="I194" s="38"/>
      <c r="J194" s="38"/>
      <c r="K194" s="38"/>
      <c r="L194" s="88"/>
    </row>
    <row r="195" spans="1:14">
      <c r="A195" s="1874"/>
      <c r="B195" s="2076"/>
      <c r="C195" s="73">
        <v>2020</v>
      </c>
      <c r="D195" s="37"/>
      <c r="E195" s="38"/>
      <c r="F195" s="38"/>
      <c r="G195" s="291">
        <f t="shared" si="21"/>
        <v>0</v>
      </c>
      <c r="H195" s="112"/>
      <c r="I195" s="38"/>
      <c r="J195" s="38"/>
      <c r="K195" s="38"/>
      <c r="L195" s="88"/>
    </row>
    <row r="196" spans="1:14" ht="15.75" thickBot="1">
      <c r="A196" s="1876"/>
      <c r="B196" s="2077"/>
      <c r="C196" s="136" t="s">
        <v>13</v>
      </c>
      <c r="D196" s="139">
        <f t="shared" ref="D196:L196" si="22">SUM(D189:D195)</f>
        <v>5283</v>
      </c>
      <c r="E196" s="116">
        <f t="shared" si="22"/>
        <v>510</v>
      </c>
      <c r="F196" s="116">
        <f t="shared" si="22"/>
        <v>771</v>
      </c>
      <c r="G196" s="292">
        <f t="shared" si="22"/>
        <v>6564</v>
      </c>
      <c r="H196" s="115">
        <f t="shared" si="22"/>
        <v>0</v>
      </c>
      <c r="I196" s="116">
        <f t="shared" si="22"/>
        <v>705</v>
      </c>
      <c r="J196" s="116">
        <f t="shared" si="22"/>
        <v>120</v>
      </c>
      <c r="K196" s="116">
        <f t="shared" si="22"/>
        <v>0</v>
      </c>
      <c r="L196" s="117">
        <f t="shared" si="22"/>
        <v>5739</v>
      </c>
    </row>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v>1</v>
      </c>
      <c r="K204" s="38">
        <v>15</v>
      </c>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1</v>
      </c>
      <c r="K209" s="139">
        <f t="shared" si="23"/>
        <v>15</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15" customHeight="1">
      <c r="A213" t="s">
        <v>163</v>
      </c>
      <c r="B213" s="1973" t="s">
        <v>260</v>
      </c>
      <c r="C213" s="72"/>
      <c r="D213" s="447">
        <f>D214+D215+D216+D217</f>
        <v>882825.39</v>
      </c>
      <c r="E213" s="597">
        <f>E214+E215+E216+E217</f>
        <v>2199221.87</v>
      </c>
      <c r="F213" s="447">
        <f>F214+F215+F216+F217</f>
        <v>1249837.01</v>
      </c>
      <c r="G213" s="135"/>
      <c r="H213" s="135"/>
      <c r="I213" s="326"/>
    </row>
    <row r="214" spans="1:12">
      <c r="A214" t="s">
        <v>164</v>
      </c>
      <c r="B214" s="1974"/>
      <c r="C214" s="72"/>
      <c r="D214" s="328">
        <f>420374.29+126907.1</f>
        <v>547281.39</v>
      </c>
      <c r="E214" s="447">
        <f>574560.64+366670.8</f>
        <v>941231.44</v>
      </c>
      <c r="F214" s="447">
        <v>467363.84000000003</v>
      </c>
      <c r="G214" s="135"/>
      <c r="H214" s="135"/>
      <c r="I214" s="326"/>
    </row>
    <row r="215" spans="1:12">
      <c r="A215" t="s">
        <v>165</v>
      </c>
      <c r="B215" s="1974"/>
      <c r="C215" s="72"/>
      <c r="D215">
        <v>0</v>
      </c>
      <c r="E215" s="598">
        <v>0</v>
      </c>
      <c r="F215" s="447">
        <v>0</v>
      </c>
      <c r="G215" s="135"/>
      <c r="H215" s="135"/>
      <c r="I215" s="326"/>
    </row>
    <row r="216" spans="1:12">
      <c r="A216" t="s">
        <v>166</v>
      </c>
      <c r="B216" s="1974"/>
      <c r="C216" s="72"/>
      <c r="D216" s="328">
        <v>335544</v>
      </c>
      <c r="E216" s="447">
        <v>692052.78</v>
      </c>
      <c r="F216" s="447">
        <f>105278.93+126873.06+41952.85+15301.3</f>
        <v>289406.13999999996</v>
      </c>
      <c r="G216" s="135"/>
      <c r="H216" s="135"/>
      <c r="I216" s="326"/>
    </row>
    <row r="217" spans="1:12">
      <c r="A217" t="s">
        <v>167</v>
      </c>
      <c r="B217" s="1974"/>
      <c r="C217" s="72"/>
      <c r="D217" s="599">
        <v>0</v>
      </c>
      <c r="E217" s="598">
        <v>565937.65</v>
      </c>
      <c r="F217" s="447">
        <v>493067.03</v>
      </c>
      <c r="G217" s="135"/>
      <c r="H217" s="135"/>
      <c r="I217" s="326"/>
    </row>
    <row r="218" spans="1:12" ht="30">
      <c r="A218" s="56" t="s">
        <v>168</v>
      </c>
      <c r="B218" s="1974"/>
      <c r="C218" s="72"/>
      <c r="D218" s="328">
        <v>297319.63</v>
      </c>
      <c r="E218" s="598">
        <f>788329.52-4428</f>
        <v>783901.52</v>
      </c>
      <c r="F218" s="328">
        <f>735312.07+2427+43964.16+56863.2</f>
        <v>838566.42999999993</v>
      </c>
      <c r="G218" s="135"/>
      <c r="H218" s="135"/>
      <c r="I218" s="326"/>
    </row>
    <row r="219" spans="1:12" ht="164.25" customHeight="1" thickBot="1">
      <c r="A219" s="331"/>
      <c r="B219" s="1975"/>
      <c r="C219" s="42" t="s">
        <v>13</v>
      </c>
      <c r="D219" s="332">
        <f>D214+D215+D216+D217+D218</f>
        <v>1180145.02</v>
      </c>
      <c r="E219" s="332">
        <f>E214+E215+E216+E217+E218</f>
        <v>2983123.39</v>
      </c>
      <c r="F219" s="332">
        <f t="shared" ref="F219:I219" si="24">SUM(F214:F218)</f>
        <v>2088403.44</v>
      </c>
      <c r="G219" s="333">
        <f t="shared" si="24"/>
        <v>0</v>
      </c>
      <c r="H219" s="333">
        <f t="shared" si="24"/>
        <v>0</v>
      </c>
      <c r="I219" s="61">
        <f t="shared" si="24"/>
        <v>0</v>
      </c>
      <c r="J219" s="406"/>
    </row>
    <row r="220" spans="1:12" ht="164.25" customHeight="1"/>
    <row r="221" spans="1:12" ht="11.25" customHeight="1"/>
    <row r="222" spans="1:12" hidden="1"/>
    <row r="223" spans="1:12" hidden="1"/>
    <row r="224" spans="1:12" hidden="1"/>
    <row r="225" spans="1:1" hidden="1"/>
    <row r="226" spans="1:1" hidden="1"/>
    <row r="227" spans="1:1" hidden="1">
      <c r="A227" s="56"/>
    </row>
    <row r="228" spans="1:1" hidden="1"/>
    <row r="229" spans="1:1" hidden="1"/>
    <row r="230" spans="1:1" hidden="1"/>
    <row r="231" spans="1:1" hidden="1"/>
    <row r="233" spans="1:1" ht="14.25" customHeight="1"/>
    <row r="234" spans="1:1" hidden="1"/>
    <row r="235" spans="1:1" hidden="1"/>
    <row r="236" spans="1:1" hidden="1"/>
    <row r="237" spans="1:1" hidden="1"/>
    <row r="238" spans="1:1" hidden="1"/>
    <row r="239" spans="1:1" hidden="1"/>
    <row r="240" spans="1:1" hidden="1"/>
    <row r="241" hidden="1"/>
    <row r="243" hidden="1"/>
    <row r="244" hidden="1"/>
    <row r="245" hidden="1"/>
    <row r="246" hidden="1"/>
    <row r="247" hidden="1"/>
    <row r="248" hidden="1"/>
    <row r="249" hidden="1"/>
    <row r="345" ht="11.25" customHeight="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9"/>
  <sheetViews>
    <sheetView topLeftCell="A13" zoomScale="70" zoomScaleNormal="70" workbookViewId="0">
      <selection activeCell="H18" sqref="H18:O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1" customFormat="1" ht="31.5">
      <c r="A1" s="334" t="s">
        <v>0</v>
      </c>
      <c r="B1" s="1943" t="s">
        <v>261</v>
      </c>
      <c r="C1" s="1944"/>
      <c r="D1" s="1944"/>
      <c r="E1" s="1944"/>
      <c r="F1" s="1944"/>
    </row>
    <row r="2" spans="1:25" s="1" customFormat="1" ht="20.100000000000001" customHeight="1" thickBot="1"/>
    <row r="3" spans="1:25" s="4" customFormat="1" ht="20.100000000000001" customHeight="1">
      <c r="A3" s="488" t="s">
        <v>2</v>
      </c>
      <c r="B3" s="489"/>
      <c r="C3" s="489"/>
      <c r="D3" s="489"/>
      <c r="E3" s="489"/>
      <c r="F3" s="2010"/>
      <c r="G3" s="2010"/>
      <c r="H3" s="2010"/>
      <c r="I3" s="2010"/>
      <c r="J3" s="2010"/>
      <c r="K3" s="2010"/>
      <c r="L3" s="2010"/>
      <c r="M3" s="2010"/>
      <c r="N3" s="2010"/>
      <c r="O3" s="2011"/>
    </row>
    <row r="4" spans="1:25" s="4" customFormat="1" ht="20.100000000000001" customHeight="1">
      <c r="A4" s="1947" t="s">
        <v>170</v>
      </c>
      <c r="B4" s="1948"/>
      <c r="C4" s="1948"/>
      <c r="D4" s="1948"/>
      <c r="E4" s="1948"/>
      <c r="F4" s="1948"/>
      <c r="G4" s="1948"/>
      <c r="H4" s="1948"/>
      <c r="I4" s="1948"/>
      <c r="J4" s="1948"/>
      <c r="K4" s="1948"/>
      <c r="L4" s="1948"/>
      <c r="M4" s="1948"/>
      <c r="N4" s="1948"/>
      <c r="O4" s="1949"/>
    </row>
    <row r="5" spans="1:25" s="4" customFormat="1" ht="20.100000000000001" customHeight="1">
      <c r="A5" s="1947"/>
      <c r="B5" s="1948"/>
      <c r="C5" s="1948"/>
      <c r="D5" s="1948"/>
      <c r="E5" s="1948"/>
      <c r="F5" s="1948"/>
      <c r="G5" s="1948"/>
      <c r="H5" s="1948"/>
      <c r="I5" s="1948"/>
      <c r="J5" s="1948"/>
      <c r="K5" s="1948"/>
      <c r="L5" s="1948"/>
      <c r="M5" s="1948"/>
      <c r="N5" s="1948"/>
      <c r="O5" s="1949"/>
      <c r="P5" s="4" t="s">
        <v>262</v>
      </c>
    </row>
    <row r="6" spans="1:25" s="4" customFormat="1" ht="20.100000000000001" customHeight="1">
      <c r="A6" s="1947"/>
      <c r="B6" s="1948"/>
      <c r="C6" s="1948"/>
      <c r="D6" s="1948"/>
      <c r="E6" s="1948"/>
      <c r="F6" s="1948"/>
      <c r="G6" s="1948"/>
      <c r="H6" s="1948"/>
      <c r="I6" s="1948"/>
      <c r="J6" s="1948"/>
      <c r="K6" s="1948"/>
      <c r="L6" s="1948"/>
      <c r="M6" s="1948"/>
      <c r="N6" s="1948"/>
      <c r="O6" s="1949"/>
    </row>
    <row r="7" spans="1:25" s="4" customFormat="1" ht="20.100000000000001" customHeight="1">
      <c r="A7" s="1947"/>
      <c r="B7" s="1948"/>
      <c r="C7" s="1948"/>
      <c r="D7" s="1948"/>
      <c r="E7" s="1948"/>
      <c r="F7" s="1948"/>
      <c r="G7" s="1948"/>
      <c r="H7" s="1948"/>
      <c r="I7" s="1948"/>
      <c r="J7" s="1948"/>
      <c r="K7" s="1948"/>
      <c r="L7" s="1948"/>
      <c r="M7" s="1948"/>
      <c r="N7" s="1948"/>
      <c r="O7" s="1949"/>
    </row>
    <row r="8" spans="1:25" s="4" customFormat="1" ht="20.100000000000001" customHeight="1">
      <c r="A8" s="1947"/>
      <c r="B8" s="1948"/>
      <c r="C8" s="1948"/>
      <c r="D8" s="1948"/>
      <c r="E8" s="1948"/>
      <c r="F8" s="1948"/>
      <c r="G8" s="1948"/>
      <c r="H8" s="1948"/>
      <c r="I8" s="1948"/>
      <c r="J8" s="1948"/>
      <c r="K8" s="1948"/>
      <c r="L8" s="1948"/>
      <c r="M8" s="1948"/>
      <c r="N8" s="1948"/>
      <c r="O8" s="1949"/>
    </row>
    <row r="9" spans="1:25" s="4" customFormat="1" ht="20.100000000000001" customHeight="1">
      <c r="A9" s="1947"/>
      <c r="B9" s="1948"/>
      <c r="C9" s="1948"/>
      <c r="D9" s="1948"/>
      <c r="E9" s="1948"/>
      <c r="F9" s="1948"/>
      <c r="G9" s="1948"/>
      <c r="H9" s="1948"/>
      <c r="I9" s="1948"/>
      <c r="J9" s="1948"/>
      <c r="K9" s="1948"/>
      <c r="L9" s="1948"/>
      <c r="M9" s="1948"/>
      <c r="N9" s="1948"/>
      <c r="O9" s="1949"/>
    </row>
    <row r="10" spans="1:25" s="4" customFormat="1" ht="87" customHeight="1" thickBot="1">
      <c r="A10" s="1950"/>
      <c r="B10" s="1951"/>
      <c r="C10" s="1951"/>
      <c r="D10" s="1951"/>
      <c r="E10" s="1951"/>
      <c r="F10" s="1951"/>
      <c r="G10" s="1951"/>
      <c r="H10" s="1951"/>
      <c r="I10" s="1951"/>
      <c r="J10" s="1951"/>
      <c r="K10" s="1951"/>
      <c r="L10" s="1951"/>
      <c r="M10" s="1951"/>
      <c r="N10" s="1951"/>
      <c r="O10" s="1952"/>
    </row>
    <row r="11" spans="1:25" s="1" customFormat="1" ht="20.100000000000001" customHeight="1"/>
    <row r="13" spans="1:25" ht="21">
      <c r="A13" s="5" t="s">
        <v>4</v>
      </c>
      <c r="B13" s="5"/>
      <c r="C13" s="6"/>
      <c r="D13" s="6"/>
      <c r="E13" s="6"/>
      <c r="F13" s="6"/>
      <c r="G13" s="6"/>
      <c r="H13" s="6"/>
      <c r="I13" s="6"/>
      <c r="J13" s="6"/>
      <c r="K13" s="6"/>
      <c r="L13" s="6"/>
      <c r="M13" s="6"/>
      <c r="N13" s="6"/>
      <c r="O13" s="6"/>
    </row>
    <row r="14" spans="1:25" ht="15.75" thickBot="1">
      <c r="P14" s="7"/>
      <c r="Q14" s="7"/>
      <c r="R14" s="7"/>
      <c r="S14" s="7"/>
      <c r="T14" s="7"/>
      <c r="U14" s="7"/>
      <c r="V14" s="7"/>
      <c r="W14" s="7"/>
      <c r="X14" s="7"/>
    </row>
    <row r="15" spans="1:25" s="51" customFormat="1" ht="22.5" customHeight="1">
      <c r="A15" s="515"/>
      <c r="B15" s="516"/>
      <c r="C15" s="10"/>
      <c r="D15" s="1953" t="s">
        <v>5</v>
      </c>
      <c r="E15" s="2012"/>
      <c r="F15" s="2012"/>
      <c r="G15" s="2012"/>
      <c r="H15" s="11"/>
      <c r="I15" s="12" t="s">
        <v>6</v>
      </c>
      <c r="J15" s="13"/>
      <c r="K15" s="13"/>
      <c r="L15" s="13"/>
      <c r="M15" s="13"/>
      <c r="N15" s="13"/>
      <c r="O15" s="14"/>
      <c r="P15" s="15"/>
      <c r="Q15" s="16"/>
      <c r="R15" s="17"/>
      <c r="S15" s="17"/>
      <c r="T15" s="17"/>
      <c r="U15" s="17"/>
      <c r="V15" s="17"/>
      <c r="W15" s="15"/>
      <c r="X15" s="15"/>
      <c r="Y15" s="16"/>
    </row>
    <row r="16" spans="1:25" s="56" customFormat="1" ht="129" customHeight="1">
      <c r="A16" s="18" t="s">
        <v>7</v>
      </c>
      <c r="B16" s="335" t="s">
        <v>171</v>
      </c>
      <c r="C16" s="20" t="s">
        <v>9</v>
      </c>
      <c r="D16" s="21" t="s">
        <v>10</v>
      </c>
      <c r="E16" s="22" t="s">
        <v>11</v>
      </c>
      <c r="F16" s="22" t="s">
        <v>12</v>
      </c>
      <c r="G16" s="23" t="s">
        <v>13</v>
      </c>
      <c r="H16" s="24" t="s">
        <v>14</v>
      </c>
      <c r="I16" s="25" t="s">
        <v>15</v>
      </c>
      <c r="J16" s="25" t="s">
        <v>16</v>
      </c>
      <c r="K16" s="25" t="s">
        <v>17</v>
      </c>
      <c r="L16" s="25" t="s">
        <v>18</v>
      </c>
      <c r="M16" s="26" t="s">
        <v>19</v>
      </c>
      <c r="N16" s="25" t="s">
        <v>20</v>
      </c>
      <c r="O16" s="27" t="s">
        <v>21</v>
      </c>
      <c r="P16" s="28"/>
      <c r="Q16" s="28"/>
      <c r="R16" s="28"/>
      <c r="S16" s="28"/>
      <c r="T16" s="28"/>
      <c r="U16" s="28"/>
      <c r="V16" s="28"/>
      <c r="W16" s="28"/>
      <c r="X16" s="28"/>
      <c r="Y16" s="28"/>
    </row>
    <row r="17" spans="1:25" ht="39" customHeight="1">
      <c r="A17" s="1874" t="s">
        <v>263</v>
      </c>
      <c r="B17" s="1855"/>
      <c r="C17" s="29">
        <v>2014</v>
      </c>
      <c r="D17" s="30"/>
      <c r="E17" s="31"/>
      <c r="F17" s="31"/>
      <c r="G17" s="32">
        <f t="shared" ref="G17:G23" si="0">SUM(D17:F17)</f>
        <v>0</v>
      </c>
      <c r="H17" s="33"/>
      <c r="I17" s="31"/>
      <c r="J17" s="31"/>
      <c r="K17" s="31"/>
      <c r="L17" s="31"/>
      <c r="M17" s="31"/>
      <c r="N17" s="31"/>
      <c r="O17" s="34"/>
      <c r="P17" s="35"/>
      <c r="Q17" s="35"/>
      <c r="R17" s="35"/>
      <c r="S17" s="35"/>
      <c r="T17" s="35"/>
      <c r="U17" s="35"/>
      <c r="V17" s="35"/>
      <c r="W17" s="35"/>
      <c r="X17" s="35"/>
      <c r="Y17" s="35"/>
    </row>
    <row r="18" spans="1:25" ht="71.25" customHeight="1">
      <c r="A18" s="1854"/>
      <c r="B18" s="1855"/>
      <c r="C18" s="36">
        <v>2015</v>
      </c>
      <c r="D18" s="37">
        <v>7</v>
      </c>
      <c r="E18" s="38"/>
      <c r="F18" s="38">
        <v>3</v>
      </c>
      <c r="G18" s="32">
        <f>SUM(D18:F18)</f>
        <v>10</v>
      </c>
      <c r="H18" s="39"/>
      <c r="I18" s="38">
        <v>1</v>
      </c>
      <c r="J18" s="38">
        <v>1</v>
      </c>
      <c r="K18" s="38"/>
      <c r="L18" s="38">
        <v>3</v>
      </c>
      <c r="M18" s="38"/>
      <c r="N18" s="38"/>
      <c r="O18" s="40">
        <v>5</v>
      </c>
      <c r="P18" s="35"/>
      <c r="Q18" s="35"/>
      <c r="R18" s="35"/>
      <c r="S18" s="35"/>
      <c r="T18" s="35"/>
      <c r="U18" s="35"/>
      <c r="V18" s="35"/>
      <c r="W18" s="35"/>
      <c r="X18" s="35"/>
      <c r="Y18" s="35"/>
    </row>
    <row r="19" spans="1:25" ht="71.25" customHeight="1">
      <c r="A19" s="1854"/>
      <c r="B19" s="1855"/>
      <c r="C19" s="36">
        <v>2016</v>
      </c>
      <c r="D19" s="37">
        <v>40</v>
      </c>
      <c r="E19" s="38">
        <v>3</v>
      </c>
      <c r="F19" s="38">
        <v>12</v>
      </c>
      <c r="G19" s="32">
        <f t="shared" si="0"/>
        <v>55</v>
      </c>
      <c r="H19" s="39"/>
      <c r="I19" s="38">
        <v>2</v>
      </c>
      <c r="J19" s="38">
        <v>3</v>
      </c>
      <c r="K19" s="38">
        <v>42</v>
      </c>
      <c r="L19" s="38">
        <v>5</v>
      </c>
      <c r="M19" s="38"/>
      <c r="N19" s="38"/>
      <c r="O19" s="40">
        <v>3</v>
      </c>
      <c r="P19" s="35"/>
      <c r="Q19" s="35"/>
      <c r="R19" s="35"/>
      <c r="S19" s="35"/>
      <c r="T19" s="35"/>
      <c r="U19" s="35"/>
      <c r="V19" s="35"/>
      <c r="W19" s="35"/>
      <c r="X19" s="35"/>
      <c r="Y19" s="35"/>
    </row>
    <row r="20" spans="1:25" ht="71.25" customHeight="1">
      <c r="A20" s="1854"/>
      <c r="B20" s="1855"/>
      <c r="C20" s="36">
        <v>2017</v>
      </c>
      <c r="D20" s="37">
        <v>30</v>
      </c>
      <c r="E20" s="38">
        <v>1</v>
      </c>
      <c r="F20" s="38">
        <v>7</v>
      </c>
      <c r="G20" s="32">
        <f t="shared" si="0"/>
        <v>38</v>
      </c>
      <c r="H20" s="39">
        <v>1</v>
      </c>
      <c r="I20" s="38">
        <v>3</v>
      </c>
      <c r="J20" s="38">
        <v>1</v>
      </c>
      <c r="K20" s="38">
        <v>26</v>
      </c>
      <c r="L20" s="38">
        <v>5</v>
      </c>
      <c r="M20" s="38"/>
      <c r="N20" s="38"/>
      <c r="O20" s="40">
        <v>2</v>
      </c>
      <c r="P20" s="35"/>
      <c r="Q20" s="35"/>
      <c r="R20" s="35"/>
      <c r="S20" s="35"/>
      <c r="T20" s="35"/>
      <c r="U20" s="35"/>
      <c r="V20" s="35"/>
      <c r="W20" s="35"/>
      <c r="X20" s="35"/>
      <c r="Y20" s="35"/>
    </row>
    <row r="21" spans="1:25" ht="71.25" customHeight="1">
      <c r="A21" s="1854"/>
      <c r="B21" s="1855"/>
      <c r="C21" s="36">
        <v>2018</v>
      </c>
      <c r="D21" s="37"/>
      <c r="E21" s="38"/>
      <c r="F21" s="38"/>
      <c r="G21" s="32">
        <f t="shared" si="0"/>
        <v>0</v>
      </c>
      <c r="H21" s="39"/>
      <c r="I21" s="38"/>
      <c r="J21" s="38"/>
      <c r="K21" s="38"/>
      <c r="L21" s="38"/>
      <c r="M21" s="38"/>
      <c r="N21" s="38"/>
      <c r="O21" s="40"/>
      <c r="P21" s="35"/>
      <c r="Q21" s="35"/>
      <c r="R21" s="35"/>
      <c r="S21" s="35"/>
      <c r="T21" s="35"/>
      <c r="U21" s="35"/>
      <c r="V21" s="35"/>
      <c r="W21" s="35"/>
      <c r="X21" s="35"/>
      <c r="Y21" s="35"/>
    </row>
    <row r="22" spans="1:25" ht="71.25" customHeight="1">
      <c r="A22" s="1854"/>
      <c r="B22" s="1855"/>
      <c r="C22" s="41">
        <v>2019</v>
      </c>
      <c r="D22" s="37"/>
      <c r="E22" s="38"/>
      <c r="F22" s="38"/>
      <c r="G22" s="32">
        <f>SUM(D22:F22)</f>
        <v>0</v>
      </c>
      <c r="H22" s="39"/>
      <c r="I22" s="38"/>
      <c r="J22" s="38"/>
      <c r="K22" s="38"/>
      <c r="L22" s="38"/>
      <c r="M22" s="38"/>
      <c r="N22" s="38"/>
      <c r="O22" s="40"/>
      <c r="P22" s="35"/>
      <c r="Q22" s="35"/>
      <c r="R22" s="35"/>
      <c r="S22" s="35"/>
      <c r="T22" s="35"/>
      <c r="U22" s="35"/>
      <c r="V22" s="35"/>
      <c r="W22" s="35"/>
      <c r="X22" s="35"/>
      <c r="Y22" s="35"/>
    </row>
    <row r="23" spans="1:25" ht="71.25" customHeight="1">
      <c r="A23" s="1854"/>
      <c r="B23" s="1855"/>
      <c r="C23" s="36">
        <v>2020</v>
      </c>
      <c r="D23" s="37"/>
      <c r="E23" s="38"/>
      <c r="F23" s="38"/>
      <c r="G23" s="32">
        <f t="shared" si="0"/>
        <v>0</v>
      </c>
      <c r="H23" s="39"/>
      <c r="I23" s="38"/>
      <c r="J23" s="38"/>
      <c r="K23" s="38"/>
      <c r="L23" s="38"/>
      <c r="M23" s="38"/>
      <c r="N23" s="38"/>
      <c r="O23" s="40"/>
      <c r="P23" s="35"/>
      <c r="Q23" s="35"/>
      <c r="R23" s="35"/>
      <c r="S23" s="35"/>
      <c r="T23" s="35"/>
      <c r="U23" s="35"/>
      <c r="V23" s="35"/>
      <c r="W23" s="35"/>
      <c r="X23" s="35"/>
      <c r="Y23" s="35"/>
    </row>
    <row r="24" spans="1:25" ht="115.5" customHeight="1" thickBot="1">
      <c r="A24" s="1856"/>
      <c r="B24" s="1857"/>
      <c r="C24" s="42" t="s">
        <v>13</v>
      </c>
      <c r="D24" s="43">
        <f>SUM(D17:D23)</f>
        <v>77</v>
      </c>
      <c r="E24" s="44">
        <f>SUM(E17:E23)</f>
        <v>4</v>
      </c>
      <c r="F24" s="44">
        <f>SUM(F17:F23)</f>
        <v>22</v>
      </c>
      <c r="G24" s="45">
        <f>SUM(D24:F24)</f>
        <v>103</v>
      </c>
      <c r="H24" s="46">
        <f>SUM(H17:H23)</f>
        <v>1</v>
      </c>
      <c r="I24" s="47">
        <f>SUM(I17:I23)</f>
        <v>6</v>
      </c>
      <c r="J24" s="47">
        <f t="shared" ref="J24:N24" si="1">SUM(J17:J23)</f>
        <v>5</v>
      </c>
      <c r="K24" s="47">
        <f t="shared" si="1"/>
        <v>68</v>
      </c>
      <c r="L24" s="47">
        <f t="shared" si="1"/>
        <v>13</v>
      </c>
      <c r="M24" s="47">
        <f t="shared" si="1"/>
        <v>0</v>
      </c>
      <c r="N24" s="47">
        <f t="shared" si="1"/>
        <v>0</v>
      </c>
      <c r="O24" s="48">
        <f>SUM(O17:O23)</f>
        <v>10</v>
      </c>
      <c r="P24" s="35"/>
      <c r="Q24" s="35"/>
      <c r="R24" s="35"/>
      <c r="S24" s="35"/>
      <c r="T24" s="35"/>
      <c r="U24" s="35"/>
      <c r="V24" s="35"/>
      <c r="W24" s="35"/>
      <c r="X24" s="35"/>
      <c r="Y24" s="35"/>
    </row>
    <row r="25" spans="1:25" ht="15.75" thickBot="1">
      <c r="C25" s="49"/>
      <c r="H25" s="7"/>
      <c r="I25" s="7"/>
      <c r="J25" s="7"/>
      <c r="K25" s="7"/>
      <c r="L25" s="7"/>
      <c r="M25" s="7"/>
      <c r="N25" s="7"/>
      <c r="O25" s="7"/>
      <c r="P25" s="7"/>
      <c r="Q25" s="7"/>
    </row>
    <row r="26" spans="1:25" s="51" customFormat="1" ht="30.75" customHeight="1">
      <c r="A26" s="515"/>
      <c r="B26" s="516"/>
      <c r="C26" s="50"/>
      <c r="D26" s="1959" t="s">
        <v>5</v>
      </c>
      <c r="E26" s="2071"/>
      <c r="F26" s="2071"/>
      <c r="G26" s="2072"/>
      <c r="H26" s="15"/>
      <c r="I26" s="16"/>
      <c r="J26" s="17"/>
      <c r="K26" s="17"/>
      <c r="L26" s="17"/>
      <c r="M26" s="17"/>
      <c r="N26" s="17"/>
      <c r="O26" s="15"/>
      <c r="P26" s="15"/>
    </row>
    <row r="27" spans="1:25" s="56" customFormat="1" ht="93" customHeight="1">
      <c r="A27" s="348" t="s">
        <v>23</v>
      </c>
      <c r="B27" s="335" t="s">
        <v>171</v>
      </c>
      <c r="C27" s="53" t="s">
        <v>9</v>
      </c>
      <c r="D27" s="54" t="s">
        <v>10</v>
      </c>
      <c r="E27" s="22" t="s">
        <v>11</v>
      </c>
      <c r="F27" s="22" t="s">
        <v>12</v>
      </c>
      <c r="G27" s="55" t="s">
        <v>13</v>
      </c>
      <c r="H27" s="28"/>
      <c r="I27" s="28"/>
      <c r="J27" s="28"/>
      <c r="K27" s="28"/>
      <c r="L27" s="28"/>
      <c r="M27" s="28"/>
      <c r="N27" s="28"/>
      <c r="O27" s="28"/>
      <c r="P27" s="28"/>
      <c r="Q27" s="51"/>
    </row>
    <row r="28" spans="1:25" ht="47.25" customHeight="1">
      <c r="A28" s="1874" t="s">
        <v>264</v>
      </c>
      <c r="B28" s="1855"/>
      <c r="C28" s="57">
        <v>2014</v>
      </c>
      <c r="D28" s="33"/>
      <c r="E28" s="31"/>
      <c r="F28" s="31"/>
      <c r="G28" s="58">
        <f>SUM(D28:F28)</f>
        <v>0</v>
      </c>
      <c r="H28" s="35"/>
      <c r="I28" s="35"/>
      <c r="J28" s="35"/>
      <c r="K28" s="35"/>
      <c r="L28" s="35"/>
      <c r="M28" s="35"/>
      <c r="N28" s="35"/>
      <c r="O28" s="35"/>
      <c r="P28" s="35"/>
      <c r="Q28" s="7"/>
    </row>
    <row r="29" spans="1:25" ht="47.25" customHeight="1">
      <c r="A29" s="1854"/>
      <c r="B29" s="1855"/>
      <c r="C29" s="59">
        <v>2015</v>
      </c>
      <c r="D29" s="433">
        <v>881</v>
      </c>
      <c r="E29" s="89"/>
      <c r="F29" s="89">
        <v>51051</v>
      </c>
      <c r="G29" s="434">
        <f t="shared" ref="G29:G35" si="2">SUM(D29:F29)</f>
        <v>51932</v>
      </c>
      <c r="H29" s="35"/>
      <c r="I29" s="35"/>
      <c r="J29" s="35"/>
      <c r="K29" s="35"/>
      <c r="L29" s="35"/>
      <c r="M29" s="35"/>
      <c r="N29" s="35"/>
      <c r="O29" s="35"/>
      <c r="P29" s="35"/>
      <c r="Q29" s="7"/>
    </row>
    <row r="30" spans="1:25" ht="47.25" customHeight="1">
      <c r="A30" s="1854"/>
      <c r="B30" s="1855"/>
      <c r="C30" s="59">
        <v>2016</v>
      </c>
      <c r="D30" s="433">
        <v>18369</v>
      </c>
      <c r="E30" s="89">
        <v>4850</v>
      </c>
      <c r="F30" s="89">
        <v>365500</v>
      </c>
      <c r="G30" s="434">
        <f t="shared" si="2"/>
        <v>388719</v>
      </c>
      <c r="H30" s="35"/>
      <c r="I30" s="35"/>
      <c r="J30" s="35"/>
      <c r="K30" s="35"/>
      <c r="L30" s="35"/>
      <c r="M30" s="35"/>
      <c r="N30" s="35"/>
      <c r="O30" s="35"/>
      <c r="P30" s="35"/>
      <c r="Q30" s="7"/>
    </row>
    <row r="31" spans="1:25" ht="47.25" customHeight="1">
      <c r="A31" s="1854"/>
      <c r="B31" s="1855"/>
      <c r="C31" s="59">
        <v>2017</v>
      </c>
      <c r="D31" s="433">
        <v>35268</v>
      </c>
      <c r="E31" s="89">
        <v>4000</v>
      </c>
      <c r="F31" s="92">
        <v>185855</v>
      </c>
      <c r="G31" s="434">
        <f t="shared" si="2"/>
        <v>225123</v>
      </c>
      <c r="H31" s="35"/>
      <c r="I31" s="35"/>
      <c r="J31" s="35"/>
      <c r="K31" s="35"/>
      <c r="L31" s="35"/>
      <c r="M31" s="35"/>
      <c r="N31" s="35"/>
      <c r="O31" s="35"/>
      <c r="P31" s="35"/>
      <c r="Q31" s="7"/>
    </row>
    <row r="32" spans="1:25" ht="47.25" customHeight="1">
      <c r="A32" s="1854"/>
      <c r="B32" s="1855"/>
      <c r="C32" s="59">
        <v>2018</v>
      </c>
      <c r="D32" s="433"/>
      <c r="E32" s="89"/>
      <c r="F32" s="89"/>
      <c r="G32" s="434">
        <f>SUM(D32:F32)</f>
        <v>0</v>
      </c>
      <c r="H32" s="35"/>
      <c r="I32" s="35"/>
      <c r="J32" s="35"/>
      <c r="K32" s="35"/>
      <c r="L32" s="35"/>
      <c r="M32" s="35"/>
      <c r="N32" s="35"/>
      <c r="O32" s="35"/>
      <c r="P32" s="35"/>
      <c r="Q32" s="7"/>
    </row>
    <row r="33" spans="1:17" ht="58.5" customHeight="1">
      <c r="A33" s="1854"/>
      <c r="B33" s="1855"/>
      <c r="C33" s="60">
        <v>2019</v>
      </c>
      <c r="D33" s="433"/>
      <c r="E33" s="89"/>
      <c r="F33" s="89"/>
      <c r="G33" s="434">
        <f t="shared" si="2"/>
        <v>0</v>
      </c>
      <c r="H33" s="35"/>
      <c r="I33" s="35"/>
      <c r="J33" s="35"/>
      <c r="K33" s="35"/>
      <c r="L33" s="35"/>
      <c r="M33" s="35"/>
      <c r="N33" s="35"/>
      <c r="O33" s="35"/>
      <c r="P33" s="35"/>
      <c r="Q33" s="7"/>
    </row>
    <row r="34" spans="1:17" ht="64.5" customHeight="1">
      <c r="A34" s="1854"/>
      <c r="B34" s="1855"/>
      <c r="C34" s="59">
        <v>2020</v>
      </c>
      <c r="D34" s="433"/>
      <c r="E34" s="89"/>
      <c r="F34" s="89"/>
      <c r="G34" s="434">
        <f t="shared" si="2"/>
        <v>0</v>
      </c>
      <c r="H34" s="35"/>
      <c r="I34" s="35"/>
      <c r="J34" s="35"/>
      <c r="K34" s="35"/>
      <c r="L34" s="35"/>
      <c r="M34" s="35"/>
      <c r="N34" s="35"/>
      <c r="O34" s="35"/>
      <c r="P34" s="35"/>
      <c r="Q34" s="7"/>
    </row>
    <row r="35" spans="1:17" ht="124.5" customHeight="1" thickBot="1">
      <c r="A35" s="1856"/>
      <c r="B35" s="1857"/>
      <c r="C35" s="61" t="s">
        <v>13</v>
      </c>
      <c r="D35" s="435">
        <f>SUM(D28:D34)</f>
        <v>54518</v>
      </c>
      <c r="E35" s="94">
        <f>SUM(E28:E34)</f>
        <v>8850</v>
      </c>
      <c r="F35" s="94">
        <f>SUM(F28:F34)</f>
        <v>602406</v>
      </c>
      <c r="G35" s="436">
        <f t="shared" si="2"/>
        <v>665774</v>
      </c>
      <c r="H35" s="35"/>
      <c r="I35" s="35"/>
      <c r="J35" s="35"/>
      <c r="K35" s="35"/>
      <c r="L35" s="35"/>
      <c r="M35" s="35"/>
      <c r="N35" s="35"/>
      <c r="O35" s="35"/>
      <c r="P35" s="35"/>
      <c r="Q35" s="7"/>
    </row>
    <row r="36" spans="1:17">
      <c r="A36" s="62"/>
      <c r="B36" s="62"/>
      <c r="C36" s="49"/>
      <c r="H36" s="7"/>
      <c r="I36" s="7"/>
      <c r="J36" s="7"/>
      <c r="K36" s="7"/>
      <c r="L36" s="7"/>
      <c r="M36" s="7"/>
      <c r="N36" s="7"/>
      <c r="O36" s="7"/>
      <c r="P36" s="7"/>
      <c r="Q36" s="7"/>
    </row>
    <row r="37" spans="1:17" ht="21" customHeight="1">
      <c r="A37" s="63" t="s">
        <v>25</v>
      </c>
      <c r="B37" s="63"/>
      <c r="C37" s="64"/>
      <c r="D37" s="64"/>
      <c r="E37" s="64"/>
      <c r="F37" s="35"/>
      <c r="G37" s="35"/>
      <c r="H37" s="35"/>
      <c r="I37" s="65"/>
      <c r="J37" s="65"/>
      <c r="K37" s="65"/>
    </row>
    <row r="38" spans="1:17" ht="12.75" customHeight="1" thickBot="1">
      <c r="G38" s="35"/>
      <c r="H38" s="35"/>
    </row>
    <row r="39" spans="1:17" ht="88.5" customHeight="1">
      <c r="A39" s="535" t="s">
        <v>26</v>
      </c>
      <c r="B39" s="536" t="s">
        <v>171</v>
      </c>
      <c r="C39" s="68" t="s">
        <v>9</v>
      </c>
      <c r="D39" s="69" t="s">
        <v>28</v>
      </c>
      <c r="E39" s="70" t="s">
        <v>29</v>
      </c>
      <c r="F39" s="71"/>
      <c r="G39" s="28"/>
      <c r="H39" s="28"/>
    </row>
    <row r="40" spans="1:17">
      <c r="A40" s="2084" t="s">
        <v>265</v>
      </c>
      <c r="B40" s="2085"/>
      <c r="C40" s="72">
        <v>2014</v>
      </c>
      <c r="D40" s="30"/>
      <c r="E40" s="29"/>
      <c r="F40" s="7"/>
      <c r="G40" s="35"/>
      <c r="H40" s="35"/>
    </row>
    <row r="41" spans="1:17">
      <c r="A41" s="2086"/>
      <c r="B41" s="2085"/>
      <c r="C41" s="73">
        <v>2015</v>
      </c>
      <c r="D41" s="74">
        <v>8077</v>
      </c>
      <c r="E41" s="75">
        <v>1659</v>
      </c>
      <c r="F41" s="7"/>
      <c r="G41" s="35"/>
      <c r="H41" s="35"/>
    </row>
    <row r="42" spans="1:17">
      <c r="A42" s="2086"/>
      <c r="B42" s="2085"/>
      <c r="C42" s="73">
        <v>2016</v>
      </c>
      <c r="D42" s="74">
        <v>9724</v>
      </c>
      <c r="E42" s="75">
        <v>2646</v>
      </c>
      <c r="F42" s="7"/>
      <c r="G42" s="35"/>
      <c r="H42" s="35"/>
    </row>
    <row r="43" spans="1:17">
      <c r="A43" s="2086"/>
      <c r="B43" s="2085"/>
      <c r="C43" s="73">
        <v>2017</v>
      </c>
      <c r="D43" s="74">
        <v>3717</v>
      </c>
      <c r="E43" s="75">
        <v>1847</v>
      </c>
      <c r="F43" s="7"/>
      <c r="G43" s="35"/>
      <c r="H43" s="35"/>
    </row>
    <row r="44" spans="1:17">
      <c r="A44" s="2086"/>
      <c r="B44" s="2085"/>
      <c r="C44" s="73">
        <v>2018</v>
      </c>
      <c r="D44" s="74"/>
      <c r="E44" s="75"/>
      <c r="F44" s="7"/>
      <c r="G44" s="35"/>
      <c r="H44" s="35"/>
    </row>
    <row r="45" spans="1:17">
      <c r="A45" s="2086"/>
      <c r="B45" s="2085"/>
      <c r="C45" s="73">
        <v>2019</v>
      </c>
      <c r="D45" s="74"/>
      <c r="E45" s="75"/>
      <c r="F45" s="7"/>
      <c r="G45" s="35"/>
      <c r="H45" s="35"/>
    </row>
    <row r="46" spans="1:17">
      <c r="A46" s="2086"/>
      <c r="B46" s="2085"/>
      <c r="C46" s="73">
        <v>2020</v>
      </c>
      <c r="D46" s="74"/>
      <c r="E46" s="75"/>
      <c r="F46" s="7"/>
      <c r="G46" s="35"/>
      <c r="H46" s="35"/>
    </row>
    <row r="47" spans="1:17" ht="15.75" thickBot="1">
      <c r="A47" s="2087"/>
      <c r="B47" s="2088"/>
      <c r="C47" s="42" t="s">
        <v>13</v>
      </c>
      <c r="D47" s="76">
        <f>SUM(D40:D46)</f>
        <v>21518</v>
      </c>
      <c r="E47" s="77">
        <f>SUM(E40:E46)</f>
        <v>6152</v>
      </c>
      <c r="F47" s="78"/>
      <c r="G47" s="35"/>
      <c r="H47" s="35"/>
    </row>
    <row r="48" spans="1:17" s="35" customFormat="1" ht="15.75" thickBot="1">
      <c r="A48" s="539"/>
      <c r="B48" s="80"/>
      <c r="C48" s="81"/>
    </row>
    <row r="49" spans="1:15" ht="83.25" customHeight="1">
      <c r="A49" s="82" t="s">
        <v>32</v>
      </c>
      <c r="B49" s="536" t="s">
        <v>171</v>
      </c>
      <c r="C49" s="84" t="s">
        <v>9</v>
      </c>
      <c r="D49" s="69" t="s">
        <v>34</v>
      </c>
      <c r="E49" s="85" t="s">
        <v>35</v>
      </c>
      <c r="F49" s="85" t="s">
        <v>36</v>
      </c>
      <c r="G49" s="85" t="s">
        <v>37</v>
      </c>
      <c r="H49" s="85" t="s">
        <v>38</v>
      </c>
      <c r="I49" s="85" t="s">
        <v>39</v>
      </c>
      <c r="J49" s="85" t="s">
        <v>40</v>
      </c>
      <c r="K49" s="86" t="s">
        <v>41</v>
      </c>
    </row>
    <row r="50" spans="1:15" ht="17.25" customHeight="1">
      <c r="A50" s="1872" t="s">
        <v>266</v>
      </c>
      <c r="B50" s="1879"/>
      <c r="C50" s="87" t="s">
        <v>43</v>
      </c>
      <c r="D50" s="30"/>
      <c r="E50" s="31"/>
      <c r="F50" s="31"/>
      <c r="G50" s="31"/>
      <c r="H50" s="31"/>
      <c r="I50" s="31"/>
      <c r="J50" s="31"/>
      <c r="K50" s="34"/>
    </row>
    <row r="51" spans="1:15" ht="15" customHeight="1">
      <c r="A51" s="1874"/>
      <c r="B51" s="1881"/>
      <c r="C51" s="73">
        <v>2014</v>
      </c>
      <c r="D51" s="37"/>
      <c r="E51" s="38"/>
      <c r="F51" s="38"/>
      <c r="G51" s="38"/>
      <c r="H51" s="38"/>
      <c r="I51" s="38"/>
      <c r="J51" s="38"/>
      <c r="K51" s="88"/>
    </row>
    <row r="52" spans="1:15">
      <c r="A52" s="1874"/>
      <c r="B52" s="1881"/>
      <c r="C52" s="73">
        <v>2015</v>
      </c>
      <c r="D52" s="37"/>
      <c r="E52" s="38"/>
      <c r="F52" s="38"/>
      <c r="G52" s="38"/>
      <c r="H52" s="38"/>
      <c r="I52" s="38"/>
      <c r="J52" s="38"/>
      <c r="K52" s="88"/>
    </row>
    <row r="53" spans="1:15">
      <c r="A53" s="1874"/>
      <c r="B53" s="1881"/>
      <c r="C53" s="73">
        <v>2016</v>
      </c>
      <c r="D53" s="37"/>
      <c r="E53" s="38"/>
      <c r="F53" s="38"/>
      <c r="G53" s="38"/>
      <c r="H53" s="38"/>
      <c r="I53" s="38"/>
      <c r="J53" s="38"/>
      <c r="K53" s="88"/>
    </row>
    <row r="54" spans="1:15">
      <c r="A54" s="1874"/>
      <c r="B54" s="1881"/>
      <c r="C54" s="73">
        <v>2017</v>
      </c>
      <c r="D54" s="37"/>
      <c r="E54" s="38"/>
      <c r="F54" s="38"/>
      <c r="G54" s="38"/>
      <c r="H54" s="38"/>
      <c r="I54" s="38"/>
      <c r="J54" s="38"/>
      <c r="K54" s="88"/>
    </row>
    <row r="55" spans="1:15">
      <c r="A55" s="1874"/>
      <c r="B55" s="1881"/>
      <c r="C55" s="73">
        <v>2018</v>
      </c>
      <c r="D55" s="37"/>
      <c r="E55" s="38"/>
      <c r="F55" s="38"/>
      <c r="G55" s="38"/>
      <c r="H55" s="38"/>
      <c r="I55" s="38"/>
      <c r="J55" s="38"/>
      <c r="K55" s="88"/>
    </row>
    <row r="56" spans="1:15">
      <c r="A56" s="1874"/>
      <c r="B56" s="1881"/>
      <c r="C56" s="73">
        <v>2019</v>
      </c>
      <c r="D56" s="37"/>
      <c r="E56" s="38"/>
      <c r="F56" s="38"/>
      <c r="G56" s="38"/>
      <c r="H56" s="38"/>
      <c r="I56" s="38"/>
      <c r="J56" s="38"/>
      <c r="K56" s="88"/>
    </row>
    <row r="57" spans="1:15">
      <c r="A57" s="1874"/>
      <c r="B57" s="1881"/>
      <c r="C57" s="73">
        <v>2020</v>
      </c>
      <c r="D57" s="37"/>
      <c r="E57" s="38"/>
      <c r="F57" s="38"/>
      <c r="G57" s="38"/>
      <c r="H57" s="38"/>
      <c r="I57" s="38"/>
      <c r="J57" s="38"/>
      <c r="K57" s="93"/>
    </row>
    <row r="58" spans="1:15" ht="20.25" customHeight="1" thickBot="1">
      <c r="A58" s="1876"/>
      <c r="B58" s="1883"/>
      <c r="C58" s="42" t="s">
        <v>13</v>
      </c>
      <c r="D58" s="43">
        <f>SUM(D51:D57)</f>
        <v>0</v>
      </c>
      <c r="E58" s="44">
        <f>SUM(E51:E57)</f>
        <v>0</v>
      </c>
      <c r="F58" s="44">
        <f>SUM(F51:F57)</f>
        <v>0</v>
      </c>
      <c r="G58" s="44">
        <f>SUM(G51:G57)</f>
        <v>0</v>
      </c>
      <c r="H58" s="44">
        <f>SUM(H51:H57)</f>
        <v>0</v>
      </c>
      <c r="I58" s="44">
        <f t="shared" ref="I58" si="3">SUM(I51:I57)</f>
        <v>0</v>
      </c>
      <c r="J58" s="44">
        <f>SUM(J51:J57)</f>
        <v>0</v>
      </c>
      <c r="K58" s="48">
        <f>SUM(K50:K56)</f>
        <v>0</v>
      </c>
    </row>
    <row r="59" spans="1:15" ht="15.75" thickBot="1"/>
    <row r="60" spans="1:15" ht="21" customHeight="1">
      <c r="A60" s="2073" t="s">
        <v>44</v>
      </c>
      <c r="B60" s="540"/>
      <c r="C60" s="2074" t="s">
        <v>9</v>
      </c>
      <c r="D60" s="1941" t="s">
        <v>45</v>
      </c>
      <c r="E60" s="96" t="s">
        <v>6</v>
      </c>
      <c r="F60" s="541"/>
      <c r="G60" s="541"/>
      <c r="H60" s="541"/>
      <c r="I60" s="541"/>
      <c r="J60" s="541"/>
      <c r="K60" s="541"/>
      <c r="L60" s="542"/>
    </row>
    <row r="61" spans="1:15" ht="115.5" customHeight="1">
      <c r="A61" s="1970"/>
      <c r="B61" s="373" t="s">
        <v>171</v>
      </c>
      <c r="C61" s="1972"/>
      <c r="D61" s="1942"/>
      <c r="E61" s="100" t="s">
        <v>14</v>
      </c>
      <c r="F61" s="101" t="s">
        <v>15</v>
      </c>
      <c r="G61" s="101" t="s">
        <v>16</v>
      </c>
      <c r="H61" s="102" t="s">
        <v>17</v>
      </c>
      <c r="I61" s="102" t="s">
        <v>18</v>
      </c>
      <c r="J61" s="103" t="s">
        <v>19</v>
      </c>
      <c r="K61" s="101" t="s">
        <v>20</v>
      </c>
      <c r="L61" s="104" t="s">
        <v>21</v>
      </c>
      <c r="M61" s="105"/>
      <c r="N61" s="7"/>
      <c r="O61" s="7"/>
    </row>
    <row r="62" spans="1:15">
      <c r="A62" s="1898"/>
      <c r="B62" s="1899"/>
      <c r="C62" s="106">
        <v>2014</v>
      </c>
      <c r="D62" s="107"/>
      <c r="E62" s="108"/>
      <c r="F62" s="109"/>
      <c r="G62" s="109"/>
      <c r="H62" s="109"/>
      <c r="I62" s="109"/>
      <c r="J62" s="109"/>
      <c r="K62" s="109"/>
      <c r="L62" s="34"/>
      <c r="M62" s="7"/>
      <c r="N62" s="7"/>
      <c r="O62" s="7"/>
    </row>
    <row r="63" spans="1:15">
      <c r="A63" s="1891"/>
      <c r="B63" s="1899"/>
      <c r="C63" s="110">
        <v>2015</v>
      </c>
      <c r="D63" s="111"/>
      <c r="E63" s="112"/>
      <c r="F63" s="38"/>
      <c r="G63" s="38"/>
      <c r="H63" s="38"/>
      <c r="I63" s="38"/>
      <c r="J63" s="38"/>
      <c r="K63" s="38"/>
      <c r="L63" s="88"/>
      <c r="M63" s="7"/>
      <c r="N63" s="7"/>
      <c r="O63" s="7"/>
    </row>
    <row r="64" spans="1:15">
      <c r="A64" s="1891"/>
      <c r="B64" s="1899"/>
      <c r="C64" s="110">
        <v>2016</v>
      </c>
      <c r="D64" s="111">
        <v>12</v>
      </c>
      <c r="E64" s="112"/>
      <c r="F64" s="38">
        <v>3</v>
      </c>
      <c r="G64" s="38"/>
      <c r="H64" s="38">
        <v>9</v>
      </c>
      <c r="I64" s="38"/>
      <c r="J64" s="38"/>
      <c r="K64" s="38"/>
      <c r="L64" s="88"/>
      <c r="M64" s="7"/>
      <c r="N64" s="7"/>
      <c r="O64" s="7"/>
    </row>
    <row r="65" spans="1:20">
      <c r="A65" s="1891"/>
      <c r="B65" s="1899"/>
      <c r="C65" s="110">
        <v>2017</v>
      </c>
      <c r="D65" s="111">
        <v>4</v>
      </c>
      <c r="E65" s="112"/>
      <c r="F65" s="38"/>
      <c r="G65" s="38"/>
      <c r="H65" s="38">
        <v>4</v>
      </c>
      <c r="I65" s="38"/>
      <c r="J65" s="38"/>
      <c r="K65" s="38"/>
      <c r="L65" s="88"/>
      <c r="M65" s="7"/>
      <c r="N65" s="7"/>
      <c r="O65" s="7"/>
    </row>
    <row r="66" spans="1:20">
      <c r="A66" s="1891"/>
      <c r="B66" s="1899"/>
      <c r="C66" s="110">
        <v>2018</v>
      </c>
      <c r="D66" s="111"/>
      <c r="E66" s="112"/>
      <c r="F66" s="38"/>
      <c r="G66" s="38"/>
      <c r="H66" s="38"/>
      <c r="I66" s="38"/>
      <c r="J66" s="38"/>
      <c r="K66" s="38"/>
      <c r="L66" s="88"/>
      <c r="M66" s="7"/>
      <c r="N66" s="7"/>
      <c r="O66" s="7"/>
    </row>
    <row r="67" spans="1:20" ht="17.25" customHeight="1">
      <c r="A67" s="1891"/>
      <c r="B67" s="1899"/>
      <c r="C67" s="110">
        <v>2019</v>
      </c>
      <c r="D67" s="111"/>
      <c r="E67" s="112"/>
      <c r="F67" s="38"/>
      <c r="G67" s="38"/>
      <c r="H67" s="38"/>
      <c r="I67" s="38"/>
      <c r="J67" s="38"/>
      <c r="K67" s="38"/>
      <c r="L67" s="88"/>
      <c r="M67" s="7"/>
      <c r="N67" s="7"/>
      <c r="O67" s="7"/>
    </row>
    <row r="68" spans="1:20" ht="16.5" customHeight="1">
      <c r="A68" s="1891"/>
      <c r="B68" s="1899"/>
      <c r="C68" s="110">
        <v>2020</v>
      </c>
      <c r="D68" s="111"/>
      <c r="E68" s="112"/>
      <c r="F68" s="38"/>
      <c r="G68" s="38"/>
      <c r="H68" s="38"/>
      <c r="I68" s="38"/>
      <c r="J68" s="38"/>
      <c r="K68" s="38"/>
      <c r="L68" s="88"/>
      <c r="M68" s="78"/>
      <c r="N68" s="78"/>
      <c r="O68" s="78"/>
    </row>
    <row r="69" spans="1:20" ht="18" customHeight="1" thickBot="1">
      <c r="A69" s="1980"/>
      <c r="B69" s="1900"/>
      <c r="C69" s="113" t="s">
        <v>13</v>
      </c>
      <c r="D69" s="114">
        <f>SUM(D62:D68)</f>
        <v>16</v>
      </c>
      <c r="E69" s="115">
        <f>SUM(E62:E68)</f>
        <v>0</v>
      </c>
      <c r="F69" s="116">
        <f t="shared" ref="F69:I69" si="4">SUM(F62:F68)</f>
        <v>3</v>
      </c>
      <c r="G69" s="116">
        <f t="shared" si="4"/>
        <v>0</v>
      </c>
      <c r="H69" s="116">
        <f t="shared" si="4"/>
        <v>13</v>
      </c>
      <c r="I69" s="116">
        <f t="shared" si="4"/>
        <v>0</v>
      </c>
      <c r="J69" s="116"/>
      <c r="K69" s="116">
        <f>SUM(K62:K68)</f>
        <v>0</v>
      </c>
      <c r="L69" s="117">
        <f>SUM(L62:L68)</f>
        <v>0</v>
      </c>
      <c r="M69" s="78"/>
      <c r="N69" s="78"/>
      <c r="O69" s="78"/>
    </row>
    <row r="70" spans="1:20" ht="20.25" customHeight="1" thickBot="1">
      <c r="A70" s="118"/>
      <c r="B70" s="119"/>
      <c r="C70" s="120"/>
      <c r="D70" s="121"/>
      <c r="E70" s="121"/>
      <c r="F70" s="121"/>
      <c r="G70" s="121"/>
      <c r="H70" s="120"/>
      <c r="I70" s="122"/>
      <c r="J70" s="122"/>
      <c r="K70" s="122"/>
      <c r="L70" s="122"/>
      <c r="M70" s="122"/>
      <c r="N70" s="122"/>
      <c r="O70" s="122"/>
      <c r="P70" s="56"/>
      <c r="Q70" s="56"/>
      <c r="R70" s="56"/>
      <c r="S70" s="56"/>
      <c r="T70" s="56"/>
    </row>
    <row r="71" spans="1:20" ht="132" customHeight="1">
      <c r="A71" s="535" t="s">
        <v>47</v>
      </c>
      <c r="B71" s="536" t="s">
        <v>171</v>
      </c>
      <c r="C71" s="68" t="s">
        <v>9</v>
      </c>
      <c r="D71" s="123" t="s">
        <v>49</v>
      </c>
      <c r="E71" s="123" t="s">
        <v>50</v>
      </c>
      <c r="F71" s="124" t="s">
        <v>51</v>
      </c>
      <c r="G71" s="125" t="s">
        <v>52</v>
      </c>
      <c r="H71" s="126" t="s">
        <v>14</v>
      </c>
      <c r="I71" s="127" t="s">
        <v>15</v>
      </c>
      <c r="J71" s="128" t="s">
        <v>16</v>
      </c>
      <c r="K71" s="127" t="s">
        <v>17</v>
      </c>
      <c r="L71" s="127" t="s">
        <v>18</v>
      </c>
      <c r="M71" s="129" t="s">
        <v>19</v>
      </c>
      <c r="N71" s="128" t="s">
        <v>20</v>
      </c>
      <c r="O71" s="130" t="s">
        <v>21</v>
      </c>
    </row>
    <row r="72" spans="1:20" ht="15" customHeight="1">
      <c r="A72" s="1874"/>
      <c r="B72" s="1899"/>
      <c r="C72" s="72">
        <v>2014</v>
      </c>
      <c r="D72" s="131"/>
      <c r="E72" s="131"/>
      <c r="F72" s="131"/>
      <c r="G72" s="132">
        <f>SUM(D72:F72)</f>
        <v>0</v>
      </c>
      <c r="H72" s="30"/>
      <c r="I72" s="133"/>
      <c r="J72" s="109"/>
      <c r="K72" s="109"/>
      <c r="L72" s="109"/>
      <c r="M72" s="109"/>
      <c r="N72" s="109"/>
      <c r="O72" s="134"/>
    </row>
    <row r="73" spans="1:20">
      <c r="A73" s="1854"/>
      <c r="B73" s="1899"/>
      <c r="C73" s="73">
        <v>2015</v>
      </c>
      <c r="D73" s="135"/>
      <c r="E73" s="135">
        <v>1</v>
      </c>
      <c r="F73" s="135"/>
      <c r="G73" s="132">
        <f t="shared" ref="G73:G78" si="5">SUM(D73:F73)</f>
        <v>1</v>
      </c>
      <c r="H73" s="37"/>
      <c r="I73" s="37"/>
      <c r="J73" s="38"/>
      <c r="K73" s="38">
        <v>1</v>
      </c>
      <c r="L73" s="38"/>
      <c r="M73" s="38"/>
      <c r="N73" s="38"/>
      <c r="O73" s="88"/>
    </row>
    <row r="74" spans="1:20">
      <c r="A74" s="1854"/>
      <c r="B74" s="1899"/>
      <c r="C74" s="73">
        <v>2016</v>
      </c>
      <c r="D74" s="135">
        <v>7</v>
      </c>
      <c r="E74" s="135">
        <v>3</v>
      </c>
      <c r="F74" s="135"/>
      <c r="G74" s="132">
        <f t="shared" si="5"/>
        <v>10</v>
      </c>
      <c r="H74" s="37"/>
      <c r="I74" s="37"/>
      <c r="J74" s="38"/>
      <c r="K74" s="38">
        <v>10</v>
      </c>
      <c r="L74" s="38"/>
      <c r="M74" s="38"/>
      <c r="N74" s="38"/>
      <c r="O74" s="88"/>
    </row>
    <row r="75" spans="1:20">
      <c r="A75" s="1854"/>
      <c r="B75" s="1899"/>
      <c r="C75" s="73">
        <v>2017</v>
      </c>
      <c r="D75" s="135"/>
      <c r="E75" s="135">
        <v>4</v>
      </c>
      <c r="F75" s="135"/>
      <c r="G75" s="132">
        <f t="shared" si="5"/>
        <v>4</v>
      </c>
      <c r="H75" s="37"/>
      <c r="I75" s="37"/>
      <c r="J75" s="38"/>
      <c r="K75" s="38">
        <v>4</v>
      </c>
      <c r="L75" s="38"/>
      <c r="M75" s="38"/>
      <c r="N75" s="38"/>
      <c r="O75" s="88"/>
    </row>
    <row r="76" spans="1:20">
      <c r="A76" s="1854"/>
      <c r="B76" s="1899"/>
      <c r="C76" s="73">
        <v>2018</v>
      </c>
      <c r="D76" s="135"/>
      <c r="E76" s="135"/>
      <c r="F76" s="135"/>
      <c r="G76" s="132">
        <f t="shared" si="5"/>
        <v>0</v>
      </c>
      <c r="H76" s="37"/>
      <c r="I76" s="37"/>
      <c r="J76" s="38"/>
      <c r="K76" s="38"/>
      <c r="L76" s="38"/>
      <c r="M76" s="38"/>
      <c r="N76" s="38"/>
      <c r="O76" s="88"/>
    </row>
    <row r="77" spans="1:20" ht="15.75" customHeight="1">
      <c r="A77" s="1854"/>
      <c r="B77" s="1899"/>
      <c r="C77" s="73">
        <v>2019</v>
      </c>
      <c r="D77" s="135"/>
      <c r="E77" s="135"/>
      <c r="F77" s="135"/>
      <c r="G77" s="132">
        <f t="shared" si="5"/>
        <v>0</v>
      </c>
      <c r="H77" s="37"/>
      <c r="I77" s="37"/>
      <c r="J77" s="38"/>
      <c r="K77" s="38"/>
      <c r="L77" s="38"/>
      <c r="M77" s="38"/>
      <c r="N77" s="38"/>
      <c r="O77" s="88"/>
    </row>
    <row r="78" spans="1:20" ht="17.25" customHeight="1">
      <c r="A78" s="1854"/>
      <c r="B78" s="1899"/>
      <c r="C78" s="73">
        <v>2020</v>
      </c>
      <c r="D78" s="135"/>
      <c r="E78" s="135"/>
      <c r="F78" s="135"/>
      <c r="G78" s="132">
        <f t="shared" si="5"/>
        <v>0</v>
      </c>
      <c r="H78" s="37"/>
      <c r="I78" s="37"/>
      <c r="J78" s="38"/>
      <c r="K78" s="38"/>
      <c r="L78" s="38"/>
      <c r="M78" s="38"/>
      <c r="N78" s="38"/>
      <c r="O78" s="88"/>
    </row>
    <row r="79" spans="1:20" ht="20.25" customHeight="1" thickBot="1">
      <c r="A79" s="1980"/>
      <c r="B79" s="1900"/>
      <c r="C79" s="136" t="s">
        <v>13</v>
      </c>
      <c r="D79" s="114">
        <f>SUM(D72:D78)</f>
        <v>7</v>
      </c>
      <c r="E79" s="114">
        <f>SUM(E72:E78)</f>
        <v>8</v>
      </c>
      <c r="F79" s="114">
        <f>SUM(F72:F78)</f>
        <v>0</v>
      </c>
      <c r="G79" s="137">
        <f>SUM(G72:G78)</f>
        <v>15</v>
      </c>
      <c r="H79" s="138">
        <v>0</v>
      </c>
      <c r="I79" s="139">
        <f t="shared" ref="I79:O79" si="6">SUM(I72:I78)</f>
        <v>0</v>
      </c>
      <c r="J79" s="116">
        <f t="shared" si="6"/>
        <v>0</v>
      </c>
      <c r="K79" s="116">
        <f t="shared" si="6"/>
        <v>15</v>
      </c>
      <c r="L79" s="116">
        <f t="shared" si="6"/>
        <v>0</v>
      </c>
      <c r="M79" s="116">
        <f t="shared" si="6"/>
        <v>0</v>
      </c>
      <c r="N79" s="116">
        <f t="shared" si="6"/>
        <v>0</v>
      </c>
      <c r="O79" s="117">
        <f t="shared" si="6"/>
        <v>0</v>
      </c>
    </row>
    <row r="81" spans="1:16" ht="36.75" customHeight="1">
      <c r="A81" s="140"/>
      <c r="B81" s="119"/>
      <c r="C81" s="141"/>
      <c r="D81" s="142"/>
      <c r="E81" s="78"/>
      <c r="F81" s="78"/>
      <c r="G81" s="78"/>
      <c r="H81" s="78"/>
      <c r="I81" s="78"/>
      <c r="J81" s="78"/>
      <c r="K81" s="78"/>
    </row>
    <row r="82" spans="1:16" ht="28.5" customHeight="1">
      <c r="A82" s="143" t="s">
        <v>55</v>
      </c>
      <c r="B82" s="143"/>
      <c r="C82" s="144"/>
      <c r="D82" s="144"/>
      <c r="E82" s="144"/>
      <c r="F82" s="144"/>
      <c r="G82" s="144"/>
      <c r="H82" s="144"/>
      <c r="I82" s="144"/>
      <c r="J82" s="144"/>
      <c r="K82" s="144"/>
      <c r="L82" s="145"/>
    </row>
    <row r="83" spans="1:16" ht="14.25" customHeight="1" thickBot="1">
      <c r="A83" s="146"/>
      <c r="B83" s="146"/>
    </row>
    <row r="84" spans="1:16" s="56" customFormat="1" ht="150" customHeight="1">
      <c r="A84" s="547" t="s">
        <v>56</v>
      </c>
      <c r="B84" s="548" t="s">
        <v>178</v>
      </c>
      <c r="C84" s="149" t="s">
        <v>9</v>
      </c>
      <c r="D84" s="150" t="s">
        <v>58</v>
      </c>
      <c r="E84" s="151" t="s">
        <v>59</v>
      </c>
      <c r="F84" s="152" t="s">
        <v>60</v>
      </c>
      <c r="G84" s="152" t="s">
        <v>61</v>
      </c>
      <c r="H84" s="152" t="s">
        <v>62</v>
      </c>
      <c r="I84" s="152" t="s">
        <v>63</v>
      </c>
      <c r="J84" s="152" t="s">
        <v>64</v>
      </c>
      <c r="K84" s="153" t="s">
        <v>65</v>
      </c>
    </row>
    <row r="85" spans="1:16" ht="15" customHeight="1">
      <c r="A85" s="1939"/>
      <c r="B85" s="2092"/>
      <c r="C85" s="72">
        <v>2014</v>
      </c>
      <c r="D85" s="154"/>
      <c r="E85" s="155"/>
      <c r="F85" s="31"/>
      <c r="G85" s="31"/>
      <c r="H85" s="31"/>
      <c r="I85" s="31"/>
      <c r="J85" s="31"/>
      <c r="K85" s="34"/>
    </row>
    <row r="86" spans="1:16">
      <c r="A86" s="1939"/>
      <c r="B86" s="2092"/>
      <c r="C86" s="73">
        <v>2015</v>
      </c>
      <c r="D86" s="156">
        <v>0</v>
      </c>
      <c r="E86" s="112"/>
      <c r="F86" s="38"/>
      <c r="G86" s="38"/>
      <c r="H86" s="38"/>
      <c r="I86" s="38"/>
      <c r="J86" s="38"/>
      <c r="K86" s="88"/>
    </row>
    <row r="87" spans="1:16">
      <c r="A87" s="1939"/>
      <c r="B87" s="2092"/>
      <c r="C87" s="73">
        <v>2016</v>
      </c>
      <c r="D87" s="156">
        <v>0</v>
      </c>
      <c r="E87" s="600"/>
      <c r="F87" s="38"/>
      <c r="G87" s="38"/>
      <c r="H87" s="38"/>
      <c r="I87" s="38"/>
      <c r="J87" s="38"/>
      <c r="K87" s="88"/>
    </row>
    <row r="88" spans="1:16">
      <c r="A88" s="1939"/>
      <c r="B88" s="2092"/>
      <c r="C88" s="73">
        <v>2017</v>
      </c>
      <c r="D88" s="156">
        <v>5</v>
      </c>
      <c r="E88" s="112"/>
      <c r="F88" s="38"/>
      <c r="G88" s="38"/>
      <c r="H88" s="38">
        <v>5</v>
      </c>
      <c r="I88" s="38"/>
      <c r="J88" s="38"/>
      <c r="K88" s="88"/>
    </row>
    <row r="89" spans="1:16">
      <c r="A89" s="1939"/>
      <c r="B89" s="2092"/>
      <c r="C89" s="73">
        <v>2018</v>
      </c>
      <c r="D89" s="156"/>
      <c r="E89" s="112"/>
      <c r="F89" s="38"/>
      <c r="G89" s="38"/>
      <c r="H89" s="38"/>
      <c r="I89" s="38"/>
      <c r="J89" s="38"/>
      <c r="K89" s="88"/>
    </row>
    <row r="90" spans="1:16">
      <c r="A90" s="1939"/>
      <c r="B90" s="2092"/>
      <c r="C90" s="73">
        <v>2019</v>
      </c>
      <c r="D90" s="156"/>
      <c r="E90" s="112"/>
      <c r="F90" s="38"/>
      <c r="G90" s="38"/>
      <c r="H90" s="38"/>
      <c r="I90" s="38"/>
      <c r="J90" s="38"/>
      <c r="K90" s="88"/>
    </row>
    <row r="91" spans="1:16">
      <c r="A91" s="1939"/>
      <c r="B91" s="2092"/>
      <c r="C91" s="73">
        <v>2020</v>
      </c>
      <c r="D91" s="156"/>
      <c r="E91" s="112"/>
      <c r="F91" s="38"/>
      <c r="G91" s="38"/>
      <c r="H91" s="38"/>
      <c r="I91" s="38"/>
      <c r="J91" s="38"/>
      <c r="K91" s="88"/>
    </row>
    <row r="92" spans="1:16" ht="18" customHeight="1" thickBot="1">
      <c r="A92" s="1940"/>
      <c r="B92" s="2093"/>
      <c r="C92" s="136" t="s">
        <v>13</v>
      </c>
      <c r="D92" s="157">
        <f t="shared" ref="D92:I92" si="7">SUM(D85:D91)</f>
        <v>5</v>
      </c>
      <c r="E92" s="115">
        <f t="shared" si="7"/>
        <v>0</v>
      </c>
      <c r="F92" s="116">
        <f t="shared" si="7"/>
        <v>0</v>
      </c>
      <c r="G92" s="116">
        <f t="shared" si="7"/>
        <v>0</v>
      </c>
      <c r="H92" s="116">
        <f t="shared" si="7"/>
        <v>5</v>
      </c>
      <c r="I92" s="116">
        <f t="shared" si="7"/>
        <v>0</v>
      </c>
      <c r="J92" s="116">
        <f>SUM(J85:J91)</f>
        <v>0</v>
      </c>
      <c r="K92" s="117">
        <f>SUM(K85:K91)</f>
        <v>0</v>
      </c>
    </row>
    <row r="93" spans="1:16" ht="20.25" customHeight="1"/>
    <row r="94" spans="1:16" ht="21">
      <c r="A94" s="158" t="s">
        <v>67</v>
      </c>
      <c r="B94" s="158"/>
      <c r="C94" s="159"/>
      <c r="D94" s="159"/>
      <c r="E94" s="159"/>
      <c r="F94" s="159"/>
      <c r="G94" s="159"/>
      <c r="H94" s="159"/>
      <c r="I94" s="159"/>
      <c r="J94" s="159"/>
      <c r="K94" s="159"/>
      <c r="L94" s="159"/>
      <c r="M94" s="159"/>
      <c r="N94" s="160"/>
      <c r="O94" s="160"/>
      <c r="P94" s="160"/>
    </row>
    <row r="95" spans="1:16" s="65" customFormat="1" ht="15" customHeight="1" thickBot="1">
      <c r="A95" s="161"/>
      <c r="B95" s="161"/>
    </row>
    <row r="96" spans="1:16" ht="29.25" customHeight="1">
      <c r="A96" s="2051" t="s">
        <v>68</v>
      </c>
      <c r="B96" s="2052" t="s">
        <v>179</v>
      </c>
      <c r="C96" s="2058" t="s">
        <v>9</v>
      </c>
      <c r="D96" s="1916" t="s">
        <v>70</v>
      </c>
      <c r="E96" s="1917"/>
      <c r="F96" s="162" t="s">
        <v>71</v>
      </c>
      <c r="G96" s="549"/>
      <c r="H96" s="549"/>
      <c r="I96" s="549"/>
      <c r="J96" s="549"/>
      <c r="K96" s="549"/>
      <c r="L96" s="549"/>
      <c r="M96" s="550"/>
      <c r="N96" s="165"/>
      <c r="O96" s="165"/>
      <c r="P96" s="165"/>
    </row>
    <row r="97" spans="1:16" ht="100.5" customHeight="1">
      <c r="A97" s="1910"/>
      <c r="B97" s="1912"/>
      <c r="C97" s="1925"/>
      <c r="D97" s="166" t="s">
        <v>72</v>
      </c>
      <c r="E97" s="167" t="s">
        <v>73</v>
      </c>
      <c r="F97" s="168" t="s">
        <v>14</v>
      </c>
      <c r="G97" s="169" t="s">
        <v>74</v>
      </c>
      <c r="H97" s="170" t="s">
        <v>61</v>
      </c>
      <c r="I97" s="171" t="s">
        <v>62</v>
      </c>
      <c r="J97" s="171" t="s">
        <v>63</v>
      </c>
      <c r="K97" s="172" t="s">
        <v>75</v>
      </c>
      <c r="L97" s="170" t="s">
        <v>64</v>
      </c>
      <c r="M97" s="173" t="s">
        <v>65</v>
      </c>
      <c r="N97" s="165"/>
      <c r="O97" s="165"/>
      <c r="P97" s="165"/>
    </row>
    <row r="98" spans="1:16" ht="17.25" customHeight="1">
      <c r="A98" s="2089" t="s">
        <v>267</v>
      </c>
      <c r="B98" s="2006"/>
      <c r="C98" s="106">
        <v>2014</v>
      </c>
      <c r="D98" s="30"/>
      <c r="E98" s="31"/>
      <c r="F98" s="174"/>
      <c r="G98" s="175"/>
      <c r="H98" s="175"/>
      <c r="I98" s="175"/>
      <c r="J98" s="175"/>
      <c r="K98" s="175"/>
      <c r="L98" s="175"/>
      <c r="M98" s="176"/>
      <c r="N98" s="165"/>
      <c r="O98" s="165"/>
      <c r="P98" s="165"/>
    </row>
    <row r="99" spans="1:16" ht="16.5" customHeight="1">
      <c r="A99" s="2090"/>
      <c r="B99" s="2006"/>
      <c r="C99" s="110">
        <v>2015</v>
      </c>
      <c r="D99" s="90">
        <v>1</v>
      </c>
      <c r="E99" s="91">
        <v>2</v>
      </c>
      <c r="F99" s="177"/>
      <c r="G99" s="178"/>
      <c r="H99" s="178"/>
      <c r="I99" s="178"/>
      <c r="J99" s="178"/>
      <c r="K99" s="178"/>
      <c r="L99" s="178"/>
      <c r="M99" s="179">
        <v>1</v>
      </c>
      <c r="N99" s="165"/>
      <c r="O99" s="165"/>
      <c r="P99" s="165"/>
    </row>
    <row r="100" spans="1:16" ht="16.5" customHeight="1">
      <c r="A100" s="2090"/>
      <c r="B100" s="2006"/>
      <c r="C100" s="110">
        <v>2016</v>
      </c>
      <c r="D100" s="90">
        <v>1</v>
      </c>
      <c r="E100" s="91">
        <v>9</v>
      </c>
      <c r="F100" s="177"/>
      <c r="G100" s="178"/>
      <c r="H100" s="178"/>
      <c r="I100" s="178"/>
      <c r="J100" s="178"/>
      <c r="K100" s="178"/>
      <c r="L100" s="178"/>
      <c r="M100" s="179">
        <v>1</v>
      </c>
      <c r="N100" s="165"/>
      <c r="O100" s="165"/>
      <c r="P100" s="165"/>
    </row>
    <row r="101" spans="1:16" ht="16.5" customHeight="1">
      <c r="A101" s="2090"/>
      <c r="B101" s="2006"/>
      <c r="C101" s="110">
        <v>2017</v>
      </c>
      <c r="D101" s="90">
        <v>1</v>
      </c>
      <c r="E101" s="91">
        <v>9</v>
      </c>
      <c r="F101" s="177"/>
      <c r="G101" s="178"/>
      <c r="H101" s="178"/>
      <c r="I101" s="178"/>
      <c r="J101" s="178"/>
      <c r="K101" s="178"/>
      <c r="L101" s="178"/>
      <c r="M101" s="179">
        <v>1</v>
      </c>
      <c r="N101" s="165"/>
      <c r="O101" s="165"/>
      <c r="P101" s="165"/>
    </row>
    <row r="102" spans="1:16" ht="15.75" customHeight="1">
      <c r="A102" s="2090"/>
      <c r="B102" s="2006"/>
      <c r="C102" s="110">
        <v>2018</v>
      </c>
      <c r="D102" s="37"/>
      <c r="E102" s="38"/>
      <c r="F102" s="177"/>
      <c r="G102" s="178"/>
      <c r="H102" s="178"/>
      <c r="I102" s="178"/>
      <c r="J102" s="178"/>
      <c r="K102" s="178"/>
      <c r="L102" s="178"/>
      <c r="M102" s="179"/>
      <c r="N102" s="165"/>
      <c r="O102" s="165"/>
      <c r="P102" s="165"/>
    </row>
    <row r="103" spans="1:16" ht="14.25" customHeight="1">
      <c r="A103" s="2090"/>
      <c r="B103" s="2006"/>
      <c r="C103" s="110">
        <v>2019</v>
      </c>
      <c r="D103" s="37"/>
      <c r="E103" s="38"/>
      <c r="F103" s="177"/>
      <c r="G103" s="178"/>
      <c r="H103" s="178"/>
      <c r="I103" s="178"/>
      <c r="J103" s="178"/>
      <c r="K103" s="178"/>
      <c r="L103" s="178"/>
      <c r="M103" s="179"/>
      <c r="N103" s="165"/>
      <c r="O103" s="165"/>
      <c r="P103" s="165"/>
    </row>
    <row r="104" spans="1:16" ht="14.25" customHeight="1">
      <c r="A104" s="2090"/>
      <c r="B104" s="2006"/>
      <c r="C104" s="110">
        <v>2020</v>
      </c>
      <c r="D104" s="37"/>
      <c r="E104" s="38"/>
      <c r="F104" s="177"/>
      <c r="G104" s="178"/>
      <c r="H104" s="178"/>
      <c r="I104" s="178"/>
      <c r="J104" s="178"/>
      <c r="K104" s="178"/>
      <c r="L104" s="178"/>
      <c r="M104" s="179"/>
      <c r="N104" s="165"/>
      <c r="O104" s="165"/>
      <c r="P104" s="165"/>
    </row>
    <row r="105" spans="1:16" ht="19.5" customHeight="1" thickBot="1">
      <c r="A105" s="2091"/>
      <c r="B105" s="2009"/>
      <c r="C105" s="113" t="s">
        <v>13</v>
      </c>
      <c r="D105" s="139">
        <f>SUM(D98:D104)</f>
        <v>3</v>
      </c>
      <c r="E105" s="116">
        <f t="shared" ref="E105:K105" si="8">SUM(E98:E104)</f>
        <v>20</v>
      </c>
      <c r="F105" s="180">
        <f t="shared" si="8"/>
        <v>0</v>
      </c>
      <c r="G105" s="181">
        <f t="shared" si="8"/>
        <v>0</v>
      </c>
      <c r="H105" s="181">
        <f t="shared" si="8"/>
        <v>0</v>
      </c>
      <c r="I105" s="181">
        <f>SUM(I98:I104)</f>
        <v>0</v>
      </c>
      <c r="J105" s="181">
        <f t="shared" si="8"/>
        <v>0</v>
      </c>
      <c r="K105" s="181">
        <f t="shared" si="8"/>
        <v>0</v>
      </c>
      <c r="L105" s="181">
        <f>SUM(L98:L104)</f>
        <v>0</v>
      </c>
      <c r="M105" s="182">
        <f>SUM(M98:M104)</f>
        <v>3</v>
      </c>
      <c r="N105" s="165"/>
      <c r="O105" s="165"/>
      <c r="P105" s="165"/>
    </row>
    <row r="106" spans="1:16" ht="15.75" thickBot="1">
      <c r="A106" s="183"/>
      <c r="B106" s="183"/>
      <c r="C106" s="184"/>
      <c r="D106" s="7"/>
      <c r="E106" s="7"/>
      <c r="H106" s="185"/>
      <c r="I106" s="185"/>
      <c r="J106" s="185"/>
      <c r="K106" s="185"/>
      <c r="L106" s="185"/>
      <c r="M106" s="185"/>
      <c r="N106" s="185"/>
    </row>
    <row r="107" spans="1:16" ht="15" customHeight="1">
      <c r="A107" s="2051" t="s">
        <v>77</v>
      </c>
      <c r="B107" s="2052" t="s">
        <v>179</v>
      </c>
      <c r="C107" s="2058" t="s">
        <v>9</v>
      </c>
      <c r="D107" s="1926" t="s">
        <v>78</v>
      </c>
      <c r="E107" s="162" t="s">
        <v>79</v>
      </c>
      <c r="F107" s="549"/>
      <c r="G107" s="549"/>
      <c r="H107" s="549"/>
      <c r="I107" s="549"/>
      <c r="J107" s="549"/>
      <c r="K107" s="549"/>
      <c r="L107" s="550"/>
      <c r="M107" s="185"/>
      <c r="N107" s="185"/>
    </row>
    <row r="108" spans="1:16" ht="103.5" customHeight="1">
      <c r="A108" s="1910"/>
      <c r="B108" s="1912"/>
      <c r="C108" s="1925"/>
      <c r="D108" s="1927"/>
      <c r="E108" s="168" t="s">
        <v>14</v>
      </c>
      <c r="F108" s="169" t="s">
        <v>74</v>
      </c>
      <c r="G108" s="170" t="s">
        <v>61</v>
      </c>
      <c r="H108" s="171" t="s">
        <v>62</v>
      </c>
      <c r="I108" s="171" t="s">
        <v>63</v>
      </c>
      <c r="J108" s="172" t="s">
        <v>75</v>
      </c>
      <c r="K108" s="170" t="s">
        <v>64</v>
      </c>
      <c r="L108" s="173" t="s">
        <v>65</v>
      </c>
      <c r="M108" s="185"/>
      <c r="N108" s="185"/>
    </row>
    <row r="109" spans="1:16">
      <c r="A109" s="1898" t="s">
        <v>268</v>
      </c>
      <c r="B109" s="1899"/>
      <c r="C109" s="106">
        <v>2014</v>
      </c>
      <c r="D109" s="31"/>
      <c r="E109" s="174"/>
      <c r="F109" s="175"/>
      <c r="G109" s="175"/>
      <c r="H109" s="175"/>
      <c r="I109" s="175"/>
      <c r="J109" s="175"/>
      <c r="K109" s="175"/>
      <c r="L109" s="176"/>
      <c r="M109" s="185"/>
      <c r="N109" s="185"/>
    </row>
    <row r="110" spans="1:16">
      <c r="A110" s="1891"/>
      <c r="B110" s="1899"/>
      <c r="C110" s="110">
        <v>2015</v>
      </c>
      <c r="D110" s="38"/>
      <c r="E110" s="177"/>
      <c r="F110" s="178"/>
      <c r="G110" s="178"/>
      <c r="H110" s="178"/>
      <c r="I110" s="178"/>
      <c r="J110" s="178"/>
      <c r="K110" s="178"/>
      <c r="L110" s="179"/>
      <c r="M110" s="185"/>
      <c r="N110" s="185"/>
    </row>
    <row r="111" spans="1:16">
      <c r="A111" s="1891"/>
      <c r="B111" s="1899"/>
      <c r="C111" s="110">
        <v>2016</v>
      </c>
      <c r="D111" s="38">
        <v>1</v>
      </c>
      <c r="E111" s="177"/>
      <c r="F111" s="178"/>
      <c r="G111" s="178"/>
      <c r="H111" s="178"/>
      <c r="I111" s="178"/>
      <c r="J111" s="178"/>
      <c r="K111" s="178"/>
      <c r="L111" s="38">
        <v>1</v>
      </c>
      <c r="M111" s="185"/>
      <c r="N111" s="185"/>
    </row>
    <row r="112" spans="1:16">
      <c r="A112" s="1891"/>
      <c r="B112" s="1899"/>
      <c r="C112" s="110">
        <v>2017</v>
      </c>
      <c r="D112" s="38">
        <v>3</v>
      </c>
      <c r="E112" s="177"/>
      <c r="F112" s="178"/>
      <c r="G112" s="178"/>
      <c r="H112" s="178"/>
      <c r="I112" s="178"/>
      <c r="J112" s="178"/>
      <c r="K112" s="178"/>
      <c r="L112" s="38">
        <v>3</v>
      </c>
      <c r="M112" s="185"/>
      <c r="N112" s="185"/>
    </row>
    <row r="113" spans="1:14">
      <c r="A113" s="1891"/>
      <c r="B113" s="1899"/>
      <c r="C113" s="110">
        <v>2018</v>
      </c>
      <c r="D113" s="38"/>
      <c r="E113" s="177"/>
      <c r="F113" s="178"/>
      <c r="G113" s="178"/>
      <c r="H113" s="178"/>
      <c r="I113" s="178"/>
      <c r="J113" s="178"/>
      <c r="K113" s="178"/>
      <c r="L113" s="179"/>
      <c r="M113" s="185"/>
      <c r="N113" s="185"/>
    </row>
    <row r="114" spans="1:14">
      <c r="A114" s="1891"/>
      <c r="B114" s="1899"/>
      <c r="C114" s="110">
        <v>2019</v>
      </c>
      <c r="D114" s="38"/>
      <c r="E114" s="177"/>
      <c r="F114" s="178"/>
      <c r="G114" s="178"/>
      <c r="H114" s="178"/>
      <c r="I114" s="178"/>
      <c r="J114" s="178"/>
      <c r="K114" s="178"/>
      <c r="L114" s="179"/>
      <c r="M114" s="185"/>
      <c r="N114" s="185"/>
    </row>
    <row r="115" spans="1:14">
      <c r="A115" s="1891"/>
      <c r="B115" s="1899"/>
      <c r="C115" s="110">
        <v>2020</v>
      </c>
      <c r="D115" s="38"/>
      <c r="E115" s="177"/>
      <c r="F115" s="178"/>
      <c r="G115" s="178"/>
      <c r="H115" s="178"/>
      <c r="I115" s="178"/>
      <c r="J115" s="178"/>
      <c r="K115" s="178"/>
      <c r="L115" s="179"/>
      <c r="M115" s="185"/>
      <c r="N115" s="185"/>
    </row>
    <row r="116" spans="1:14" ht="25.5" customHeight="1" thickBot="1">
      <c r="A116" s="1915"/>
      <c r="B116" s="1900"/>
      <c r="C116" s="113" t="s">
        <v>13</v>
      </c>
      <c r="D116" s="116">
        <f t="shared" ref="D116:I116" si="9">SUM(D109:D115)</f>
        <v>4</v>
      </c>
      <c r="E116" s="180">
        <f t="shared" si="9"/>
        <v>0</v>
      </c>
      <c r="F116" s="181">
        <f t="shared" si="9"/>
        <v>0</v>
      </c>
      <c r="G116" s="181">
        <f t="shared" si="9"/>
        <v>0</v>
      </c>
      <c r="H116" s="181">
        <f t="shared" si="9"/>
        <v>0</v>
      </c>
      <c r="I116" s="181">
        <f t="shared" si="9"/>
        <v>0</v>
      </c>
      <c r="J116" s="181"/>
      <c r="K116" s="181">
        <f>SUM(K109:K115)</f>
        <v>0</v>
      </c>
      <c r="L116" s="182">
        <f>SUM(L109:L115)</f>
        <v>4</v>
      </c>
      <c r="M116" s="185"/>
      <c r="N116" s="185"/>
    </row>
    <row r="117" spans="1:14" ht="21.75" thickBot="1">
      <c r="A117" s="186"/>
      <c r="B117" s="187"/>
      <c r="C117" s="65"/>
      <c r="D117" s="65"/>
      <c r="E117" s="65"/>
      <c r="F117" s="65"/>
      <c r="G117" s="65"/>
      <c r="H117" s="65"/>
      <c r="I117" s="65"/>
      <c r="J117" s="65"/>
      <c r="K117" s="65"/>
      <c r="L117" s="65"/>
      <c r="M117" s="185"/>
      <c r="N117" s="185"/>
    </row>
    <row r="118" spans="1:14" ht="15" customHeight="1">
      <c r="A118" s="2051" t="s">
        <v>81</v>
      </c>
      <c r="B118" s="2052" t="s">
        <v>179</v>
      </c>
      <c r="C118" s="2058" t="s">
        <v>9</v>
      </c>
      <c r="D118" s="1926" t="s">
        <v>82</v>
      </c>
      <c r="E118" s="162" t="s">
        <v>79</v>
      </c>
      <c r="F118" s="549"/>
      <c r="G118" s="549"/>
      <c r="H118" s="549"/>
      <c r="I118" s="549"/>
      <c r="J118" s="549"/>
      <c r="K118" s="549"/>
      <c r="L118" s="550"/>
      <c r="M118" s="185"/>
      <c r="N118" s="185"/>
    </row>
    <row r="119" spans="1:14" ht="120.75" customHeight="1">
      <c r="A119" s="1910"/>
      <c r="B119" s="1912"/>
      <c r="C119" s="1925"/>
      <c r="D119" s="1927"/>
      <c r="E119" s="168" t="s">
        <v>14</v>
      </c>
      <c r="F119" s="169" t="s">
        <v>74</v>
      </c>
      <c r="G119" s="170" t="s">
        <v>61</v>
      </c>
      <c r="H119" s="171" t="s">
        <v>62</v>
      </c>
      <c r="I119" s="171" t="s">
        <v>63</v>
      </c>
      <c r="J119" s="172" t="s">
        <v>75</v>
      </c>
      <c r="K119" s="170" t="s">
        <v>64</v>
      </c>
      <c r="L119" s="173" t="s">
        <v>65</v>
      </c>
      <c r="M119" s="185"/>
      <c r="N119" s="185"/>
    </row>
    <row r="120" spans="1:14">
      <c r="A120" s="1898" t="s">
        <v>266</v>
      </c>
      <c r="B120" s="1899"/>
      <c r="C120" s="106">
        <v>2014</v>
      </c>
      <c r="D120" s="31"/>
      <c r="E120" s="174"/>
      <c r="F120" s="175"/>
      <c r="G120" s="175"/>
      <c r="H120" s="175"/>
      <c r="I120" s="175"/>
      <c r="J120" s="175"/>
      <c r="K120" s="175"/>
      <c r="L120" s="176"/>
      <c r="M120" s="185"/>
      <c r="N120" s="185"/>
    </row>
    <row r="121" spans="1:14">
      <c r="A121" s="1891"/>
      <c r="B121" s="1899"/>
      <c r="C121" s="110">
        <v>2015</v>
      </c>
      <c r="D121" s="38"/>
      <c r="E121" s="177"/>
      <c r="F121" s="178"/>
      <c r="G121" s="178"/>
      <c r="H121" s="178"/>
      <c r="I121" s="178"/>
      <c r="J121" s="178"/>
      <c r="K121" s="178"/>
      <c r="L121" s="179"/>
      <c r="M121" s="185"/>
      <c r="N121" s="185"/>
    </row>
    <row r="122" spans="1:14">
      <c r="A122" s="1891"/>
      <c r="B122" s="1899"/>
      <c r="C122" s="110">
        <v>2016</v>
      </c>
      <c r="D122" s="38"/>
      <c r="E122" s="177"/>
      <c r="F122" s="178"/>
      <c r="G122" s="178"/>
      <c r="H122" s="178"/>
      <c r="I122" s="178"/>
      <c r="J122" s="178"/>
      <c r="K122" s="178"/>
      <c r="L122" s="179"/>
      <c r="M122" s="185"/>
      <c r="N122" s="185"/>
    </row>
    <row r="123" spans="1:14">
      <c r="A123" s="1891"/>
      <c r="B123" s="1899"/>
      <c r="C123" s="110">
        <v>2017</v>
      </c>
      <c r="D123" s="38"/>
      <c r="E123" s="177"/>
      <c r="F123" s="178"/>
      <c r="G123" s="178"/>
      <c r="H123" s="178"/>
      <c r="I123" s="178"/>
      <c r="J123" s="178"/>
      <c r="K123" s="178"/>
      <c r="L123" s="179"/>
      <c r="M123" s="185"/>
      <c r="N123" s="185"/>
    </row>
    <row r="124" spans="1:14">
      <c r="A124" s="1891"/>
      <c r="B124" s="1899"/>
      <c r="C124" s="110">
        <v>2018</v>
      </c>
      <c r="D124" s="38"/>
      <c r="E124" s="177"/>
      <c r="F124" s="178"/>
      <c r="G124" s="178"/>
      <c r="H124" s="178"/>
      <c r="I124" s="178"/>
      <c r="J124" s="178"/>
      <c r="K124" s="178"/>
      <c r="L124" s="179"/>
      <c r="M124" s="185"/>
      <c r="N124" s="185"/>
    </row>
    <row r="125" spans="1:14">
      <c r="A125" s="1891"/>
      <c r="B125" s="1899"/>
      <c r="C125" s="110">
        <v>2019</v>
      </c>
      <c r="D125" s="38"/>
      <c r="E125" s="177"/>
      <c r="F125" s="178"/>
      <c r="G125" s="178"/>
      <c r="H125" s="178"/>
      <c r="I125" s="178"/>
      <c r="J125" s="178"/>
      <c r="K125" s="178"/>
      <c r="L125" s="179"/>
      <c r="M125" s="185"/>
      <c r="N125" s="185"/>
    </row>
    <row r="126" spans="1:14">
      <c r="A126" s="1891"/>
      <c r="B126" s="1899"/>
      <c r="C126" s="110">
        <v>2020</v>
      </c>
      <c r="D126" s="38"/>
      <c r="E126" s="177"/>
      <c r="F126" s="178"/>
      <c r="G126" s="178"/>
      <c r="H126" s="178"/>
      <c r="I126" s="178"/>
      <c r="J126" s="178"/>
      <c r="K126" s="178"/>
      <c r="L126" s="179"/>
      <c r="M126" s="185"/>
      <c r="N126" s="185"/>
    </row>
    <row r="127" spans="1:14" ht="15.75" thickBot="1">
      <c r="A127" s="1915"/>
      <c r="B127" s="1900"/>
      <c r="C127" s="113" t="s">
        <v>13</v>
      </c>
      <c r="D127" s="116">
        <f t="shared" ref="D127:I127" si="10">SUM(D120:D126)</f>
        <v>0</v>
      </c>
      <c r="E127" s="180">
        <f t="shared" si="10"/>
        <v>0</v>
      </c>
      <c r="F127" s="181">
        <f t="shared" si="10"/>
        <v>0</v>
      </c>
      <c r="G127" s="181">
        <f t="shared" si="10"/>
        <v>0</v>
      </c>
      <c r="H127" s="181">
        <f t="shared" si="10"/>
        <v>0</v>
      </c>
      <c r="I127" s="181">
        <f t="shared" si="10"/>
        <v>0</v>
      </c>
      <c r="J127" s="181"/>
      <c r="K127" s="181">
        <f>SUM(K120:K126)</f>
        <v>0</v>
      </c>
      <c r="L127" s="182">
        <f>SUM(L120:L126)</f>
        <v>0</v>
      </c>
      <c r="M127" s="185"/>
      <c r="N127" s="185"/>
    </row>
    <row r="128" spans="1:14" ht="15.75" thickBot="1">
      <c r="A128" s="183"/>
      <c r="B128" s="183"/>
      <c r="C128" s="184"/>
      <c r="D128" s="7"/>
      <c r="E128" s="7"/>
      <c r="H128" s="185"/>
      <c r="I128" s="185"/>
      <c r="J128" s="185"/>
      <c r="K128" s="185"/>
      <c r="L128" s="185"/>
      <c r="M128" s="185"/>
      <c r="N128" s="185"/>
    </row>
    <row r="129" spans="1:16" ht="15" customHeight="1">
      <c r="A129" s="2051" t="s">
        <v>84</v>
      </c>
      <c r="B129" s="2052" t="s">
        <v>179</v>
      </c>
      <c r="C129" s="552" t="s">
        <v>9</v>
      </c>
      <c r="D129" s="189" t="s">
        <v>85</v>
      </c>
      <c r="E129" s="553"/>
      <c r="F129" s="553"/>
      <c r="G129" s="191"/>
      <c r="H129" s="185"/>
      <c r="I129" s="185"/>
      <c r="J129" s="185"/>
      <c r="K129" s="185"/>
      <c r="L129" s="185"/>
      <c r="M129" s="185"/>
      <c r="N129" s="185"/>
    </row>
    <row r="130" spans="1:16" ht="77.25" customHeight="1">
      <c r="A130" s="1910"/>
      <c r="B130" s="1912"/>
      <c r="C130" s="192"/>
      <c r="D130" s="166" t="s">
        <v>86</v>
      </c>
      <c r="E130" s="193" t="s">
        <v>87</v>
      </c>
      <c r="F130" s="167" t="s">
        <v>88</v>
      </c>
      <c r="G130" s="194" t="s">
        <v>13</v>
      </c>
      <c r="H130" s="185"/>
      <c r="I130" s="185"/>
      <c r="J130" s="185"/>
      <c r="K130" s="185"/>
      <c r="L130" s="185"/>
      <c r="M130" s="185"/>
      <c r="N130" s="185"/>
    </row>
    <row r="131" spans="1:16" ht="15" customHeight="1">
      <c r="A131" s="2084" t="s">
        <v>269</v>
      </c>
      <c r="B131" s="2085"/>
      <c r="C131" s="479">
        <v>2015</v>
      </c>
      <c r="D131" s="90">
        <v>52</v>
      </c>
      <c r="E131" s="91"/>
      <c r="F131" s="91"/>
      <c r="G131" s="195">
        <f t="shared" ref="G131:G136" si="11">SUM(D131:F131)</f>
        <v>52</v>
      </c>
      <c r="H131" s="185"/>
      <c r="I131" s="185"/>
      <c r="J131" s="185"/>
      <c r="K131" s="185"/>
      <c r="L131" s="185"/>
      <c r="M131" s="185"/>
      <c r="N131" s="185"/>
    </row>
    <row r="132" spans="1:16">
      <c r="A132" s="2086"/>
      <c r="B132" s="2085"/>
      <c r="C132" s="479">
        <v>2016</v>
      </c>
      <c r="D132" s="90">
        <v>160</v>
      </c>
      <c r="E132" s="38">
        <v>21</v>
      </c>
      <c r="F132" s="38"/>
      <c r="G132" s="195">
        <f t="shared" si="11"/>
        <v>181</v>
      </c>
      <c r="H132" s="185"/>
      <c r="I132" s="185"/>
      <c r="J132" s="185"/>
      <c r="K132" s="185"/>
      <c r="L132" s="185"/>
      <c r="M132" s="185"/>
      <c r="N132" s="185"/>
    </row>
    <row r="133" spans="1:16">
      <c r="A133" s="2086"/>
      <c r="B133" s="2085"/>
      <c r="C133" s="479">
        <v>2017</v>
      </c>
      <c r="D133" s="90">
        <v>135</v>
      </c>
      <c r="E133" s="38">
        <v>81</v>
      </c>
      <c r="F133" s="38"/>
      <c r="G133" s="195">
        <f t="shared" si="11"/>
        <v>216</v>
      </c>
      <c r="H133" s="185"/>
      <c r="I133" s="185"/>
      <c r="J133" s="185"/>
      <c r="K133" s="185"/>
      <c r="L133" s="185"/>
      <c r="M133" s="185"/>
      <c r="N133" s="185"/>
    </row>
    <row r="134" spans="1:16">
      <c r="A134" s="2086"/>
      <c r="B134" s="2085"/>
      <c r="C134" s="479">
        <v>2018</v>
      </c>
      <c r="D134" s="90"/>
      <c r="E134" s="38"/>
      <c r="F134" s="38"/>
      <c r="G134" s="195">
        <f t="shared" si="11"/>
        <v>0</v>
      </c>
      <c r="H134" s="185"/>
      <c r="I134" s="185"/>
      <c r="J134" s="185"/>
      <c r="K134" s="185"/>
      <c r="L134" s="185"/>
      <c r="M134" s="185"/>
      <c r="N134" s="185"/>
    </row>
    <row r="135" spans="1:16">
      <c r="A135" s="2086"/>
      <c r="B135" s="2085"/>
      <c r="C135" s="479">
        <v>2019</v>
      </c>
      <c r="D135" s="90"/>
      <c r="E135" s="38"/>
      <c r="F135" s="38"/>
      <c r="G135" s="195">
        <f t="shared" si="11"/>
        <v>0</v>
      </c>
      <c r="H135" s="185"/>
      <c r="I135" s="185"/>
      <c r="J135" s="185"/>
      <c r="K135" s="185"/>
      <c r="L135" s="185"/>
      <c r="M135" s="185"/>
      <c r="N135" s="185"/>
    </row>
    <row r="136" spans="1:16">
      <c r="A136" s="2086"/>
      <c r="B136" s="2085"/>
      <c r="C136" s="479">
        <v>2020</v>
      </c>
      <c r="D136" s="90"/>
      <c r="E136" s="38"/>
      <c r="F136" s="38"/>
      <c r="G136" s="195">
        <f t="shared" si="11"/>
        <v>0</v>
      </c>
      <c r="H136" s="185"/>
      <c r="I136" s="185"/>
      <c r="J136" s="185"/>
      <c r="K136" s="185"/>
      <c r="L136" s="185"/>
      <c r="M136" s="185"/>
      <c r="N136" s="185"/>
    </row>
    <row r="137" spans="1:16" ht="17.25" customHeight="1" thickBot="1">
      <c r="A137" s="2087"/>
      <c r="B137" s="2088"/>
      <c r="C137" s="601" t="s">
        <v>13</v>
      </c>
      <c r="D137" s="602">
        <f>SUM(D131:D136)</f>
        <v>347</v>
      </c>
      <c r="E137" s="139">
        <f t="shared" ref="E137:F137" si="12">SUM(E131:E136)</f>
        <v>102</v>
      </c>
      <c r="F137" s="139">
        <f t="shared" si="12"/>
        <v>0</v>
      </c>
      <c r="G137" s="196">
        <f>SUM(G131:G136)</f>
        <v>449</v>
      </c>
      <c r="H137" s="185"/>
      <c r="I137" s="185"/>
      <c r="J137" s="185"/>
      <c r="K137" s="185"/>
      <c r="L137" s="185"/>
      <c r="M137" s="185"/>
      <c r="N137" s="185"/>
    </row>
    <row r="138" spans="1:16">
      <c r="A138" s="183"/>
      <c r="B138" s="183"/>
      <c r="C138" s="184"/>
      <c r="D138" s="7"/>
      <c r="E138" s="7"/>
      <c r="H138" s="185"/>
      <c r="I138" s="185"/>
      <c r="J138" s="185"/>
      <c r="K138" s="185"/>
      <c r="L138" s="185"/>
      <c r="M138" s="185"/>
      <c r="N138" s="185"/>
    </row>
    <row r="139" spans="1:16" s="65" customFormat="1" ht="33" customHeight="1">
      <c r="A139" s="197"/>
      <c r="B139" s="80"/>
      <c r="C139" s="81"/>
      <c r="D139" s="35"/>
      <c r="E139" s="35"/>
      <c r="F139" s="35"/>
      <c r="G139" s="35"/>
      <c r="H139" s="35"/>
      <c r="I139" s="198"/>
      <c r="J139" s="199"/>
      <c r="K139" s="199"/>
      <c r="L139" s="199"/>
      <c r="M139" s="199"/>
      <c r="N139" s="199"/>
      <c r="O139" s="199"/>
      <c r="P139" s="199"/>
    </row>
    <row r="140" spans="1:16" ht="21">
      <c r="A140" s="200" t="s">
        <v>90</v>
      </c>
      <c r="B140" s="200"/>
      <c r="C140" s="201"/>
      <c r="D140" s="201"/>
      <c r="E140" s="201"/>
      <c r="F140" s="201"/>
      <c r="G140" s="201"/>
      <c r="H140" s="201"/>
      <c r="I140" s="201"/>
      <c r="J140" s="201"/>
      <c r="K140" s="201"/>
      <c r="L140" s="201"/>
      <c r="M140" s="201"/>
      <c r="N140" s="201"/>
      <c r="O140" s="160"/>
      <c r="P140" s="160"/>
    </row>
    <row r="141" spans="1:16" ht="21.75" customHeight="1" thickBot="1">
      <c r="A141" s="202"/>
      <c r="B141" s="119"/>
      <c r="C141" s="141"/>
      <c r="D141" s="78"/>
      <c r="E141" s="78"/>
      <c r="F141" s="78"/>
      <c r="G141" s="78"/>
      <c r="H141" s="78"/>
      <c r="I141" s="165"/>
      <c r="J141" s="165"/>
      <c r="K141" s="165"/>
      <c r="L141" s="165"/>
      <c r="M141" s="165"/>
      <c r="N141" s="165"/>
      <c r="O141" s="165"/>
      <c r="P141" s="165"/>
    </row>
    <row r="142" spans="1:16" ht="21.75" customHeight="1">
      <c r="A142" s="2050" t="s">
        <v>91</v>
      </c>
      <c r="B142" s="2048" t="s">
        <v>179</v>
      </c>
      <c r="C142" s="2043" t="s">
        <v>9</v>
      </c>
      <c r="D142" s="554" t="s">
        <v>92</v>
      </c>
      <c r="E142" s="555"/>
      <c r="F142" s="555"/>
      <c r="G142" s="555"/>
      <c r="H142" s="555"/>
      <c r="I142" s="556"/>
      <c r="J142" s="2044" t="s">
        <v>93</v>
      </c>
      <c r="K142" s="2045"/>
      <c r="L142" s="2045"/>
      <c r="M142" s="2045"/>
      <c r="N142" s="2046"/>
      <c r="O142" s="165"/>
      <c r="P142" s="165"/>
    </row>
    <row r="143" spans="1:16" ht="113.25" customHeight="1">
      <c r="A143" s="1914"/>
      <c r="B143" s="1904"/>
      <c r="C143" s="1908"/>
      <c r="D143" s="206" t="s">
        <v>94</v>
      </c>
      <c r="E143" s="207" t="s">
        <v>95</v>
      </c>
      <c r="F143" s="208" t="s">
        <v>96</v>
      </c>
      <c r="G143" s="208" t="s">
        <v>97</v>
      </c>
      <c r="H143" s="208" t="s">
        <v>98</v>
      </c>
      <c r="I143" s="209" t="s">
        <v>99</v>
      </c>
      <c r="J143" s="210" t="s">
        <v>100</v>
      </c>
      <c r="K143" s="211" t="s">
        <v>101</v>
      </c>
      <c r="L143" s="210" t="s">
        <v>102</v>
      </c>
      <c r="M143" s="211" t="s">
        <v>101</v>
      </c>
      <c r="N143" s="212" t="s">
        <v>103</v>
      </c>
      <c r="O143" s="165"/>
      <c r="P143" s="165"/>
    </row>
    <row r="144" spans="1:16" ht="19.5" customHeight="1">
      <c r="A144" s="1898" t="s">
        <v>266</v>
      </c>
      <c r="B144" s="1899"/>
      <c r="C144" s="106">
        <v>2014</v>
      </c>
      <c r="D144" s="30"/>
      <c r="E144" s="30"/>
      <c r="F144" s="31"/>
      <c r="G144" s="175"/>
      <c r="H144" s="175"/>
      <c r="I144" s="213">
        <f>D144+F144+G144+H144</f>
        <v>0</v>
      </c>
      <c r="J144" s="214"/>
      <c r="K144" s="215"/>
      <c r="L144" s="214"/>
      <c r="M144" s="215"/>
      <c r="N144" s="216"/>
      <c r="O144" s="165"/>
      <c r="P144" s="165"/>
    </row>
    <row r="145" spans="1:16" ht="19.5" customHeight="1">
      <c r="A145" s="1891"/>
      <c r="B145" s="1899"/>
      <c r="C145" s="110">
        <v>2015</v>
      </c>
      <c r="D145" s="37"/>
      <c r="E145" s="37"/>
      <c r="F145" s="38"/>
      <c r="G145" s="178"/>
      <c r="H145" s="178"/>
      <c r="I145" s="213">
        <f t="shared" ref="I145:I150" si="13">D145+F145+G145+H145</f>
        <v>0</v>
      </c>
      <c r="J145" s="217"/>
      <c r="K145" s="218"/>
      <c r="L145" s="217"/>
      <c r="M145" s="218"/>
      <c r="N145" s="219"/>
      <c r="O145" s="165"/>
      <c r="P145" s="165"/>
    </row>
    <row r="146" spans="1:16" ht="20.25" customHeight="1">
      <c r="A146" s="1891"/>
      <c r="B146" s="1899"/>
      <c r="C146" s="110">
        <v>2016</v>
      </c>
      <c r="D146" s="37"/>
      <c r="E146" s="37"/>
      <c r="F146" s="38"/>
      <c r="G146" s="178"/>
      <c r="H146" s="178"/>
      <c r="I146" s="213">
        <f t="shared" si="13"/>
        <v>0</v>
      </c>
      <c r="J146" s="217"/>
      <c r="K146" s="218"/>
      <c r="L146" s="217"/>
      <c r="M146" s="218"/>
      <c r="N146" s="219"/>
      <c r="O146" s="165"/>
      <c r="P146" s="165"/>
    </row>
    <row r="147" spans="1:16" ht="17.25" customHeight="1">
      <c r="A147" s="1891"/>
      <c r="B147" s="1899"/>
      <c r="C147" s="110">
        <v>2017</v>
      </c>
      <c r="D147" s="37"/>
      <c r="E147" s="37"/>
      <c r="F147" s="38"/>
      <c r="G147" s="178"/>
      <c r="H147" s="178"/>
      <c r="I147" s="213">
        <f t="shared" si="13"/>
        <v>0</v>
      </c>
      <c r="J147" s="217"/>
      <c r="K147" s="218"/>
      <c r="L147" s="217"/>
      <c r="M147" s="218"/>
      <c r="N147" s="219"/>
      <c r="O147" s="165"/>
      <c r="P147" s="165"/>
    </row>
    <row r="148" spans="1:16" ht="19.5" customHeight="1">
      <c r="A148" s="1891"/>
      <c r="B148" s="1899"/>
      <c r="C148" s="110">
        <v>2018</v>
      </c>
      <c r="D148" s="37"/>
      <c r="E148" s="37"/>
      <c r="F148" s="38"/>
      <c r="G148" s="178"/>
      <c r="H148" s="178"/>
      <c r="I148" s="213">
        <f t="shared" si="13"/>
        <v>0</v>
      </c>
      <c r="J148" s="217"/>
      <c r="K148" s="218"/>
      <c r="L148" s="217"/>
      <c r="M148" s="218"/>
      <c r="N148" s="219"/>
      <c r="O148" s="165"/>
      <c r="P148" s="165"/>
    </row>
    <row r="149" spans="1:16" ht="19.5" customHeight="1">
      <c r="A149" s="1891"/>
      <c r="B149" s="1899"/>
      <c r="C149" s="110">
        <v>2019</v>
      </c>
      <c r="D149" s="37"/>
      <c r="E149" s="37"/>
      <c r="F149" s="38"/>
      <c r="G149" s="178"/>
      <c r="H149" s="178"/>
      <c r="I149" s="213">
        <f t="shared" si="13"/>
        <v>0</v>
      </c>
      <c r="J149" s="217"/>
      <c r="K149" s="218"/>
      <c r="L149" s="217"/>
      <c r="M149" s="218"/>
      <c r="N149" s="219"/>
      <c r="O149" s="165"/>
      <c r="P149" s="165"/>
    </row>
    <row r="150" spans="1:16" ht="18.75" customHeight="1">
      <c r="A150" s="1891"/>
      <c r="B150" s="1899"/>
      <c r="C150" s="110">
        <v>2020</v>
      </c>
      <c r="D150" s="37"/>
      <c r="E150" s="37"/>
      <c r="F150" s="38"/>
      <c r="G150" s="178"/>
      <c r="H150" s="178"/>
      <c r="I150" s="213">
        <f t="shared" si="13"/>
        <v>0</v>
      </c>
      <c r="J150" s="217"/>
      <c r="K150" s="218"/>
      <c r="L150" s="217"/>
      <c r="M150" s="218"/>
      <c r="N150" s="219"/>
      <c r="O150" s="165"/>
      <c r="P150" s="165"/>
    </row>
    <row r="151" spans="1:16" ht="18" customHeight="1" thickBot="1">
      <c r="A151" s="1893"/>
      <c r="B151" s="1900"/>
      <c r="C151" s="113" t="s">
        <v>13</v>
      </c>
      <c r="D151" s="139">
        <f>SUM(D144:D150)</f>
        <v>0</v>
      </c>
      <c r="E151" s="139">
        <f t="shared" ref="E151:I151" si="14">SUM(E144:E150)</f>
        <v>0</v>
      </c>
      <c r="F151" s="139">
        <f t="shared" si="14"/>
        <v>0</v>
      </c>
      <c r="G151" s="139">
        <f t="shared" si="14"/>
        <v>0</v>
      </c>
      <c r="H151" s="139">
        <f t="shared" si="14"/>
        <v>0</v>
      </c>
      <c r="I151" s="220">
        <f t="shared" si="14"/>
        <v>0</v>
      </c>
      <c r="J151" s="221">
        <f>SUM(J144:J150)</f>
        <v>0</v>
      </c>
      <c r="K151" s="222">
        <f>SUM(K144:K150)</f>
        <v>0</v>
      </c>
      <c r="L151" s="221">
        <f>SUM(L144:L150)</f>
        <v>0</v>
      </c>
      <c r="M151" s="222">
        <f>SUM(M144:M150)</f>
        <v>0</v>
      </c>
      <c r="N151" s="223">
        <f>SUM(N144:N150)</f>
        <v>0</v>
      </c>
      <c r="O151" s="165"/>
      <c r="P151" s="165"/>
    </row>
    <row r="152" spans="1:16" ht="27" customHeight="1" thickBot="1">
      <c r="B152" s="224"/>
      <c r="O152" s="165"/>
      <c r="P152" s="165"/>
    </row>
    <row r="153" spans="1:16" ht="35.25" customHeight="1">
      <c r="A153" s="2047" t="s">
        <v>105</v>
      </c>
      <c r="B153" s="2048" t="s">
        <v>179</v>
      </c>
      <c r="C153" s="2049" t="s">
        <v>9</v>
      </c>
      <c r="D153" s="557" t="s">
        <v>106</v>
      </c>
      <c r="E153" s="557"/>
      <c r="F153" s="558"/>
      <c r="G153" s="558"/>
      <c r="H153" s="557" t="s">
        <v>107</v>
      </c>
      <c r="I153" s="557"/>
      <c r="J153" s="559"/>
      <c r="K153" s="56"/>
      <c r="L153" s="56"/>
      <c r="M153" s="56"/>
      <c r="N153" s="56"/>
      <c r="O153" s="165"/>
      <c r="P153" s="165"/>
    </row>
    <row r="154" spans="1:16" ht="49.5" customHeight="1">
      <c r="A154" s="1902"/>
      <c r="B154" s="1904"/>
      <c r="C154" s="1906"/>
      <c r="D154" s="228" t="s">
        <v>108</v>
      </c>
      <c r="E154" s="229" t="s">
        <v>109</v>
      </c>
      <c r="F154" s="230" t="s">
        <v>110</v>
      </c>
      <c r="G154" s="231" t="s">
        <v>111</v>
      </c>
      <c r="H154" s="228" t="s">
        <v>112</v>
      </c>
      <c r="I154" s="229" t="s">
        <v>113</v>
      </c>
      <c r="J154" s="232" t="s">
        <v>103</v>
      </c>
      <c r="K154" s="56"/>
      <c r="L154" s="56"/>
      <c r="M154" s="56"/>
      <c r="N154" s="56"/>
      <c r="O154" s="165"/>
      <c r="P154" s="165"/>
    </row>
    <row r="155" spans="1:16" ht="18.75" customHeight="1">
      <c r="A155" s="1898" t="s">
        <v>266</v>
      </c>
      <c r="B155" s="1899"/>
      <c r="C155" s="233">
        <v>2014</v>
      </c>
      <c r="D155" s="214"/>
      <c r="E155" s="175"/>
      <c r="F155" s="215"/>
      <c r="G155" s="213">
        <f>SUM(D155:F155)</f>
        <v>0</v>
      </c>
      <c r="H155" s="214"/>
      <c r="I155" s="175"/>
      <c r="J155" s="176"/>
      <c r="O155" s="165"/>
      <c r="P155" s="165"/>
    </row>
    <row r="156" spans="1:16" ht="19.5" customHeight="1">
      <c r="A156" s="1891"/>
      <c r="B156" s="1899"/>
      <c r="C156" s="234">
        <v>2015</v>
      </c>
      <c r="D156" s="217"/>
      <c r="E156" s="178"/>
      <c r="F156" s="218"/>
      <c r="G156" s="213">
        <f t="shared" ref="G156:G161" si="15">SUM(D156:F156)</f>
        <v>0</v>
      </c>
      <c r="H156" s="217"/>
      <c r="I156" s="178"/>
      <c r="J156" s="179"/>
      <c r="O156" s="165"/>
      <c r="P156" s="165"/>
    </row>
    <row r="157" spans="1:16" ht="17.25" customHeight="1">
      <c r="A157" s="1891"/>
      <c r="B157" s="1899"/>
      <c r="C157" s="234">
        <v>2016</v>
      </c>
      <c r="D157" s="217"/>
      <c r="E157" s="178"/>
      <c r="F157" s="218"/>
      <c r="G157" s="213">
        <f t="shared" si="15"/>
        <v>0</v>
      </c>
      <c r="H157" s="217"/>
      <c r="I157" s="178"/>
      <c r="J157" s="179"/>
      <c r="O157" s="165"/>
      <c r="P157" s="165"/>
    </row>
    <row r="158" spans="1:16" ht="15" customHeight="1">
      <c r="A158" s="1891"/>
      <c r="B158" s="1899"/>
      <c r="C158" s="234">
        <v>2017</v>
      </c>
      <c r="D158" s="217"/>
      <c r="E158" s="178"/>
      <c r="F158" s="218"/>
      <c r="G158" s="213">
        <f t="shared" si="15"/>
        <v>0</v>
      </c>
      <c r="H158" s="217"/>
      <c r="I158" s="178"/>
      <c r="J158" s="179"/>
      <c r="O158" s="165"/>
      <c r="P158" s="165"/>
    </row>
    <row r="159" spans="1:16" ht="19.5" customHeight="1">
      <c r="A159" s="1891"/>
      <c r="B159" s="1899"/>
      <c r="C159" s="234">
        <v>2018</v>
      </c>
      <c r="D159" s="217"/>
      <c r="E159" s="178"/>
      <c r="F159" s="218"/>
      <c r="G159" s="213">
        <f t="shared" si="15"/>
        <v>0</v>
      </c>
      <c r="H159" s="217"/>
      <c r="I159" s="178"/>
      <c r="J159" s="179"/>
      <c r="O159" s="165"/>
      <c r="P159" s="165"/>
    </row>
    <row r="160" spans="1:16" ht="15" customHeight="1">
      <c r="A160" s="1891"/>
      <c r="B160" s="1899"/>
      <c r="C160" s="234">
        <v>2019</v>
      </c>
      <c r="D160" s="217"/>
      <c r="E160" s="178"/>
      <c r="F160" s="218"/>
      <c r="G160" s="213">
        <f t="shared" si="15"/>
        <v>0</v>
      </c>
      <c r="H160" s="217"/>
      <c r="I160" s="178"/>
      <c r="J160" s="179"/>
      <c r="O160" s="165"/>
      <c r="P160" s="165"/>
    </row>
    <row r="161" spans="1:18" ht="17.25" customHeight="1">
      <c r="A161" s="1891"/>
      <c r="B161" s="1899"/>
      <c r="C161" s="234">
        <v>2020</v>
      </c>
      <c r="D161" s="217"/>
      <c r="E161" s="178"/>
      <c r="F161" s="218"/>
      <c r="G161" s="213">
        <f t="shared" si="15"/>
        <v>0</v>
      </c>
      <c r="H161" s="217"/>
      <c r="I161" s="178"/>
      <c r="J161" s="179"/>
      <c r="O161" s="165"/>
      <c r="P161" s="165"/>
    </row>
    <row r="162" spans="1:18" ht="15.75" thickBot="1">
      <c r="A162" s="1893"/>
      <c r="B162" s="1900"/>
      <c r="C162" s="235" t="s">
        <v>13</v>
      </c>
      <c r="D162" s="221">
        <f t="shared" ref="D162:G162" si="16">SUM(D155:D161)</f>
        <v>0</v>
      </c>
      <c r="E162" s="181">
        <f t="shared" si="16"/>
        <v>0</v>
      </c>
      <c r="F162" s="222">
        <f t="shared" si="16"/>
        <v>0</v>
      </c>
      <c r="G162" s="222">
        <f t="shared" si="16"/>
        <v>0</v>
      </c>
      <c r="H162" s="221">
        <f>SUM(H155:H161)</f>
        <v>0</v>
      </c>
      <c r="I162" s="181">
        <f>SUM(I155:I161)</f>
        <v>0</v>
      </c>
      <c r="J162" s="236">
        <f>SUM(J155:J161)</f>
        <v>0</v>
      </c>
    </row>
    <row r="163" spans="1:18" ht="24.75" customHeight="1" thickBot="1">
      <c r="A163" s="237"/>
      <c r="B163" s="238"/>
      <c r="C163" s="239"/>
      <c r="D163" s="165"/>
      <c r="E163" s="560"/>
      <c r="F163" s="165"/>
      <c r="G163" s="165"/>
      <c r="H163" s="165"/>
      <c r="I163" s="165"/>
      <c r="J163" s="241"/>
      <c r="K163" s="242"/>
    </row>
    <row r="164" spans="1:18" ht="95.25" customHeight="1">
      <c r="A164" s="243" t="s">
        <v>115</v>
      </c>
      <c r="B164" s="405" t="s">
        <v>181</v>
      </c>
      <c r="C164" s="245" t="s">
        <v>9</v>
      </c>
      <c r="D164" s="246" t="s">
        <v>117</v>
      </c>
      <c r="E164" s="246" t="s">
        <v>118</v>
      </c>
      <c r="F164" s="561" t="s">
        <v>119</v>
      </c>
      <c r="G164" s="246" t="s">
        <v>120</v>
      </c>
      <c r="H164" s="246" t="s">
        <v>121</v>
      </c>
      <c r="I164" s="248" t="s">
        <v>122</v>
      </c>
      <c r="J164" s="249" t="s">
        <v>123</v>
      </c>
      <c r="K164" s="249" t="s">
        <v>124</v>
      </c>
      <c r="L164" s="406"/>
    </row>
    <row r="165" spans="1:18" ht="15.75" customHeight="1">
      <c r="A165" s="2081" t="s">
        <v>266</v>
      </c>
      <c r="B165" s="1977"/>
      <c r="C165" s="251">
        <v>2014</v>
      </c>
      <c r="D165" s="175"/>
      <c r="E165" s="175"/>
      <c r="F165" s="175"/>
      <c r="G165" s="175"/>
      <c r="H165" s="175"/>
      <c r="I165" s="176"/>
      <c r="J165" s="252">
        <f>SUM(D165,F165,H165)</f>
        <v>0</v>
      </c>
      <c r="K165" s="253">
        <f>SUM(E165,G165,I165)</f>
        <v>0</v>
      </c>
      <c r="L165" s="406"/>
    </row>
    <row r="166" spans="1:18">
      <c r="A166" s="2082"/>
      <c r="B166" s="1855"/>
      <c r="C166" s="254">
        <v>2015</v>
      </c>
      <c r="D166" s="255"/>
      <c r="E166" s="255"/>
      <c r="F166" s="255"/>
      <c r="G166" s="255"/>
      <c r="H166" s="255"/>
      <c r="I166" s="256"/>
      <c r="J166" s="407">
        <f t="shared" ref="J166:K171" si="17">SUM(D166,F166,H166)</f>
        <v>0</v>
      </c>
      <c r="K166" s="408">
        <f t="shared" si="17"/>
        <v>0</v>
      </c>
      <c r="L166" s="406"/>
    </row>
    <row r="167" spans="1:18">
      <c r="A167" s="2082"/>
      <c r="B167" s="1855"/>
      <c r="C167" s="254">
        <v>2016</v>
      </c>
      <c r="D167" s="255"/>
      <c r="E167" s="255"/>
      <c r="F167" s="255"/>
      <c r="G167" s="255"/>
      <c r="H167" s="255"/>
      <c r="I167" s="256"/>
      <c r="J167" s="407">
        <f t="shared" si="17"/>
        <v>0</v>
      </c>
      <c r="K167" s="408">
        <f t="shared" si="17"/>
        <v>0</v>
      </c>
    </row>
    <row r="168" spans="1:18">
      <c r="A168" s="2082"/>
      <c r="B168" s="1855"/>
      <c r="C168" s="254">
        <v>2017</v>
      </c>
      <c r="D168" s="255"/>
      <c r="E168" s="165"/>
      <c r="F168" s="255"/>
      <c r="G168" s="255"/>
      <c r="H168" s="255"/>
      <c r="I168" s="256"/>
      <c r="J168" s="407">
        <f t="shared" si="17"/>
        <v>0</v>
      </c>
      <c r="K168" s="408">
        <f t="shared" si="17"/>
        <v>0</v>
      </c>
    </row>
    <row r="169" spans="1:18">
      <c r="A169" s="2082"/>
      <c r="B169" s="1855"/>
      <c r="C169" s="262">
        <v>2018</v>
      </c>
      <c r="D169" s="255"/>
      <c r="E169" s="255"/>
      <c r="F169" s="255"/>
      <c r="G169" s="263"/>
      <c r="H169" s="255"/>
      <c r="I169" s="256"/>
      <c r="J169" s="407">
        <f t="shared" si="17"/>
        <v>0</v>
      </c>
      <c r="K169" s="408">
        <f t="shared" si="17"/>
        <v>0</v>
      </c>
      <c r="L169" s="406"/>
    </row>
    <row r="170" spans="1:18">
      <c r="A170" s="2082"/>
      <c r="B170" s="1855"/>
      <c r="C170" s="254">
        <v>2019</v>
      </c>
      <c r="D170" s="165"/>
      <c r="E170" s="255"/>
      <c r="F170" s="255"/>
      <c r="G170" s="255"/>
      <c r="H170" s="263"/>
      <c r="I170" s="256"/>
      <c r="J170" s="407">
        <f t="shared" si="17"/>
        <v>0</v>
      </c>
      <c r="K170" s="408">
        <f t="shared" si="17"/>
        <v>0</v>
      </c>
      <c r="L170" s="406"/>
    </row>
    <row r="171" spans="1:18">
      <c r="A171" s="2082"/>
      <c r="B171" s="1855"/>
      <c r="C171" s="262">
        <v>2020</v>
      </c>
      <c r="D171" s="255"/>
      <c r="E171" s="255"/>
      <c r="F171" s="255"/>
      <c r="G171" s="255"/>
      <c r="H171" s="255"/>
      <c r="I171" s="256"/>
      <c r="J171" s="407">
        <f t="shared" si="17"/>
        <v>0</v>
      </c>
      <c r="K171" s="408">
        <f t="shared" si="17"/>
        <v>0</v>
      </c>
      <c r="L171" s="406"/>
    </row>
    <row r="172" spans="1:18" ht="41.25" customHeight="1" thickBot="1">
      <c r="A172" s="2083"/>
      <c r="B172" s="1857"/>
      <c r="C172" s="265" t="s">
        <v>13</v>
      </c>
      <c r="D172" s="181">
        <f>SUM(D165:D171)</f>
        <v>0</v>
      </c>
      <c r="E172" s="181">
        <f t="shared" ref="E172:K172" si="18">SUM(E165:E171)</f>
        <v>0</v>
      </c>
      <c r="F172" s="181">
        <f t="shared" si="18"/>
        <v>0</v>
      </c>
      <c r="G172" s="181">
        <f t="shared" si="18"/>
        <v>0</v>
      </c>
      <c r="H172" s="181">
        <f t="shared" si="18"/>
        <v>0</v>
      </c>
      <c r="I172" s="409">
        <f t="shared" si="18"/>
        <v>0</v>
      </c>
      <c r="J172" s="410">
        <f t="shared" si="18"/>
        <v>0</v>
      </c>
      <c r="K172" s="221">
        <f t="shared" si="18"/>
        <v>0</v>
      </c>
      <c r="L172" s="406"/>
    </row>
    <row r="173" spans="1:18" s="65" customFormat="1" ht="18.75" customHeight="1">
      <c r="A173" s="269"/>
      <c r="B173" s="80"/>
      <c r="C173" s="81"/>
      <c r="D173" s="35"/>
      <c r="E173" s="35"/>
      <c r="F173" s="35"/>
      <c r="G173" s="199"/>
      <c r="H173" s="199"/>
      <c r="I173" s="199"/>
      <c r="J173" s="199"/>
      <c r="K173" s="199"/>
      <c r="L173" s="199"/>
      <c r="M173" s="199"/>
      <c r="N173" s="199"/>
      <c r="O173" s="199"/>
      <c r="P173" s="199"/>
      <c r="Q173" s="199"/>
      <c r="R173" s="198"/>
    </row>
    <row r="174" spans="1:18" ht="21">
      <c r="A174" s="270" t="s">
        <v>126</v>
      </c>
      <c r="B174" s="270"/>
      <c r="C174" s="271"/>
      <c r="D174" s="271"/>
      <c r="E174" s="271"/>
      <c r="F174" s="271"/>
      <c r="G174" s="271"/>
      <c r="H174" s="271"/>
      <c r="I174" s="271"/>
      <c r="J174" s="271"/>
      <c r="K174" s="271"/>
      <c r="L174" s="271"/>
      <c r="M174" s="271"/>
      <c r="N174" s="271"/>
      <c r="O174" s="271"/>
    </row>
    <row r="175" spans="1:18" ht="18.75" customHeight="1" thickBot="1">
      <c r="A175" s="272"/>
      <c r="B175" s="272"/>
    </row>
    <row r="176" spans="1:18" s="56" customFormat="1" ht="22.5" customHeight="1" thickBot="1">
      <c r="A176" s="2039" t="s">
        <v>127</v>
      </c>
      <c r="B176" s="2037" t="s">
        <v>182</v>
      </c>
      <c r="C176" s="2040" t="s">
        <v>9</v>
      </c>
      <c r="D176" s="273" t="s">
        <v>128</v>
      </c>
      <c r="E176" s="562"/>
      <c r="F176" s="562"/>
      <c r="G176" s="563"/>
      <c r="H176" s="276"/>
      <c r="I176" s="1888" t="s">
        <v>129</v>
      </c>
      <c r="J176" s="2041"/>
      <c r="K176" s="2041"/>
      <c r="L176" s="2041"/>
      <c r="M176" s="2041"/>
      <c r="N176" s="2041"/>
      <c r="O176" s="2042"/>
    </row>
    <row r="177" spans="1:15" s="56" customFormat="1" ht="129.75" customHeight="1">
      <c r="A177" s="1885"/>
      <c r="B177" s="1864"/>
      <c r="C177" s="1887"/>
      <c r="D177" s="277" t="s">
        <v>130</v>
      </c>
      <c r="E177" s="278" t="s">
        <v>131</v>
      </c>
      <c r="F177" s="278" t="s">
        <v>132</v>
      </c>
      <c r="G177" s="279" t="s">
        <v>133</v>
      </c>
      <c r="H177" s="280" t="s">
        <v>134</v>
      </c>
      <c r="I177" s="281" t="s">
        <v>59</v>
      </c>
      <c r="J177" s="282" t="s">
        <v>60</v>
      </c>
      <c r="K177" s="282" t="s">
        <v>61</v>
      </c>
      <c r="L177" s="282" t="s">
        <v>62</v>
      </c>
      <c r="M177" s="282" t="s">
        <v>63</v>
      </c>
      <c r="N177" s="282" t="s">
        <v>64</v>
      </c>
      <c r="O177" s="283" t="s">
        <v>65</v>
      </c>
    </row>
    <row r="178" spans="1:15" ht="30" customHeight="1">
      <c r="A178" s="1898" t="s">
        <v>270</v>
      </c>
      <c r="B178" s="1899"/>
      <c r="C178" s="106">
        <v>2014</v>
      </c>
      <c r="D178" s="30"/>
      <c r="E178" s="31"/>
      <c r="F178" s="31"/>
      <c r="G178" s="284">
        <f>SUM(D178:F178)</f>
        <v>0</v>
      </c>
      <c r="H178" s="155"/>
      <c r="I178" s="155"/>
      <c r="J178" s="31"/>
      <c r="K178" s="31"/>
      <c r="L178" s="31"/>
      <c r="M178" s="31"/>
      <c r="N178" s="31"/>
      <c r="O178" s="34"/>
    </row>
    <row r="179" spans="1:15" ht="30" customHeight="1">
      <c r="A179" s="1891"/>
      <c r="B179" s="1899"/>
      <c r="C179" s="110">
        <v>2015</v>
      </c>
      <c r="D179" s="37">
        <v>4</v>
      </c>
      <c r="E179" s="38">
        <v>1</v>
      </c>
      <c r="F179" s="38"/>
      <c r="G179" s="284">
        <f t="shared" ref="G179:G184" si="19">SUM(D179:F179)</f>
        <v>5</v>
      </c>
      <c r="H179" s="411"/>
      <c r="I179" s="112"/>
      <c r="J179" s="38"/>
      <c r="K179" s="38">
        <v>1</v>
      </c>
      <c r="L179" s="38">
        <v>1</v>
      </c>
      <c r="M179" s="38"/>
      <c r="N179" s="38"/>
      <c r="O179" s="88">
        <v>3</v>
      </c>
    </row>
    <row r="180" spans="1:15" ht="30" customHeight="1">
      <c r="A180" s="1891"/>
      <c r="B180" s="1899"/>
      <c r="C180" s="110">
        <v>2016</v>
      </c>
      <c r="D180" s="37">
        <v>52</v>
      </c>
      <c r="E180" s="38">
        <v>3</v>
      </c>
      <c r="F180" s="38">
        <v>0</v>
      </c>
      <c r="G180" s="284">
        <f t="shared" si="19"/>
        <v>55</v>
      </c>
      <c r="H180" s="411">
        <v>68</v>
      </c>
      <c r="I180" s="112"/>
      <c r="J180" s="38">
        <v>1</v>
      </c>
      <c r="K180" s="38"/>
      <c r="L180" s="38">
        <v>48</v>
      </c>
      <c r="M180" s="38">
        <v>1</v>
      </c>
      <c r="N180" s="38"/>
      <c r="O180" s="88">
        <v>5</v>
      </c>
    </row>
    <row r="181" spans="1:15" ht="30" customHeight="1">
      <c r="A181" s="1891"/>
      <c r="B181" s="1899"/>
      <c r="C181" s="110">
        <v>2017</v>
      </c>
      <c r="D181" s="37">
        <v>10</v>
      </c>
      <c r="E181" s="38">
        <v>1</v>
      </c>
      <c r="F181" s="38"/>
      <c r="G181" s="284">
        <f t="shared" si="19"/>
        <v>11</v>
      </c>
      <c r="H181" s="411"/>
      <c r="I181" s="112"/>
      <c r="J181" s="38"/>
      <c r="K181" s="38"/>
      <c r="L181" s="38">
        <v>5</v>
      </c>
      <c r="M181" s="38">
        <v>2</v>
      </c>
      <c r="N181" s="38"/>
      <c r="O181" s="88">
        <v>4</v>
      </c>
    </row>
    <row r="182" spans="1:15" ht="30" customHeight="1">
      <c r="A182" s="1891"/>
      <c r="B182" s="1899"/>
      <c r="C182" s="110">
        <v>2018</v>
      </c>
      <c r="D182" s="37"/>
      <c r="E182" s="38"/>
      <c r="F182" s="38"/>
      <c r="G182" s="284">
        <f t="shared" si="19"/>
        <v>0</v>
      </c>
      <c r="H182" s="411"/>
      <c r="I182" s="112"/>
      <c r="J182" s="38"/>
      <c r="K182" s="38"/>
      <c r="L182" s="38"/>
      <c r="M182" s="38"/>
      <c r="N182" s="38"/>
      <c r="O182" s="88"/>
    </row>
    <row r="183" spans="1:15" ht="30" customHeight="1">
      <c r="A183" s="1891"/>
      <c r="B183" s="1899"/>
      <c r="C183" s="110">
        <v>2019</v>
      </c>
      <c r="D183" s="37"/>
      <c r="E183" s="38"/>
      <c r="F183" s="38"/>
      <c r="G183" s="284">
        <f t="shared" si="19"/>
        <v>0</v>
      </c>
      <c r="H183" s="411"/>
      <c r="I183" s="112"/>
      <c r="J183" s="38"/>
      <c r="K183" s="38"/>
      <c r="L183" s="38"/>
      <c r="M183" s="38"/>
      <c r="N183" s="38"/>
      <c r="O183" s="88"/>
    </row>
    <row r="184" spans="1:15" ht="30" customHeight="1">
      <c r="A184" s="1891"/>
      <c r="B184" s="1899"/>
      <c r="C184" s="110">
        <v>2020</v>
      </c>
      <c r="D184" s="37"/>
      <c r="E184" s="38"/>
      <c r="F184" s="38"/>
      <c r="G184" s="284">
        <f t="shared" si="19"/>
        <v>0</v>
      </c>
      <c r="H184" s="411"/>
      <c r="I184" s="112"/>
      <c r="J184" s="38"/>
      <c r="K184" s="38"/>
      <c r="L184" s="38"/>
      <c r="M184" s="38"/>
      <c r="N184" s="38"/>
      <c r="O184" s="88"/>
    </row>
    <row r="185" spans="1:15" ht="30" customHeight="1" thickBot="1">
      <c r="A185" s="1893"/>
      <c r="B185" s="1900"/>
      <c r="C185" s="113" t="s">
        <v>13</v>
      </c>
      <c r="D185" s="139">
        <f>SUM(D178:D184)</f>
        <v>66</v>
      </c>
      <c r="E185" s="116">
        <f>SUM(E178:E184)</f>
        <v>5</v>
      </c>
      <c r="F185" s="116">
        <f>SUM(F178:F184)</f>
        <v>0</v>
      </c>
      <c r="G185" s="220">
        <f t="shared" ref="G185:O185" si="20">SUM(G178:G184)</f>
        <v>71</v>
      </c>
      <c r="H185" s="285">
        <f t="shared" si="20"/>
        <v>68</v>
      </c>
      <c r="I185" s="115">
        <f t="shared" si="20"/>
        <v>0</v>
      </c>
      <c r="J185" s="116">
        <f t="shared" si="20"/>
        <v>1</v>
      </c>
      <c r="K185" s="116">
        <f t="shared" si="20"/>
        <v>1</v>
      </c>
      <c r="L185" s="116">
        <f t="shared" si="20"/>
        <v>54</v>
      </c>
      <c r="M185" s="116">
        <f t="shared" si="20"/>
        <v>3</v>
      </c>
      <c r="N185" s="116">
        <f t="shared" si="20"/>
        <v>0</v>
      </c>
      <c r="O185" s="117">
        <f t="shared" si="20"/>
        <v>12</v>
      </c>
    </row>
    <row r="186" spans="1:15" ht="21" customHeight="1" thickBot="1"/>
    <row r="187" spans="1:15" ht="19.5" customHeight="1">
      <c r="A187" s="1861" t="s">
        <v>137</v>
      </c>
      <c r="B187" s="2037" t="s">
        <v>182</v>
      </c>
      <c r="C187" s="1865" t="s">
        <v>9</v>
      </c>
      <c r="D187" s="1867" t="s">
        <v>138</v>
      </c>
      <c r="E187" s="2038"/>
      <c r="F187" s="2038"/>
      <c r="G187" s="1869"/>
      <c r="H187" s="1870" t="s">
        <v>139</v>
      </c>
      <c r="I187" s="1865"/>
      <c r="J187" s="1865"/>
      <c r="K187" s="1865"/>
      <c r="L187" s="1871"/>
    </row>
    <row r="188" spans="1:15" ht="90">
      <c r="A188" s="1862"/>
      <c r="B188" s="1864"/>
      <c r="C188" s="1866"/>
      <c r="D188" s="286" t="s">
        <v>140</v>
      </c>
      <c r="E188" s="286" t="s">
        <v>141</v>
      </c>
      <c r="F188" s="286" t="s">
        <v>142</v>
      </c>
      <c r="G188" s="287" t="s">
        <v>13</v>
      </c>
      <c r="H188" s="288" t="s">
        <v>143</v>
      </c>
      <c r="I188" s="286" t="s">
        <v>144</v>
      </c>
      <c r="J188" s="286" t="s">
        <v>145</v>
      </c>
      <c r="K188" s="286" t="s">
        <v>146</v>
      </c>
      <c r="L188" s="289" t="s">
        <v>147</v>
      </c>
    </row>
    <row r="189" spans="1:15" ht="18.75" customHeight="1">
      <c r="A189" s="1872" t="s">
        <v>271</v>
      </c>
      <c r="B189" s="2075"/>
      <c r="C189" s="290">
        <v>2014</v>
      </c>
      <c r="D189" s="133"/>
      <c r="E189" s="109"/>
      <c r="F189" s="109"/>
      <c r="G189" s="291">
        <f>SUM(D189:F189)</f>
        <v>0</v>
      </c>
      <c r="H189" s="108"/>
      <c r="I189" s="109"/>
      <c r="J189" s="109"/>
      <c r="K189" s="109"/>
      <c r="L189" s="134"/>
    </row>
    <row r="190" spans="1:15" ht="18.75" customHeight="1">
      <c r="A190" s="1874"/>
      <c r="B190" s="2076"/>
      <c r="C190" s="73">
        <v>2015</v>
      </c>
      <c r="D190" s="37">
        <v>316</v>
      </c>
      <c r="E190" s="38">
        <v>30</v>
      </c>
      <c r="F190" s="38"/>
      <c r="G190" s="291">
        <f t="shared" ref="G190:G195" si="21">SUM(D190:F190)</f>
        <v>346</v>
      </c>
      <c r="H190" s="112"/>
      <c r="I190" s="38"/>
      <c r="J190" s="38"/>
      <c r="K190" s="38"/>
      <c r="L190" s="88">
        <v>346</v>
      </c>
    </row>
    <row r="191" spans="1:15" ht="18.75" customHeight="1">
      <c r="A191" s="1874"/>
      <c r="B191" s="2076"/>
      <c r="C191" s="73">
        <v>2016</v>
      </c>
      <c r="D191" s="37">
        <v>1175</v>
      </c>
      <c r="E191" s="38">
        <v>49</v>
      </c>
      <c r="F191" s="38">
        <v>0</v>
      </c>
      <c r="G191" s="291">
        <f t="shared" si="21"/>
        <v>1224</v>
      </c>
      <c r="H191" s="112"/>
      <c r="I191" s="38"/>
      <c r="J191" s="91">
        <v>34</v>
      </c>
      <c r="K191" s="91"/>
      <c r="L191" s="603">
        <v>1190</v>
      </c>
    </row>
    <row r="192" spans="1:15" ht="18.75" customHeight="1">
      <c r="A192" s="1874"/>
      <c r="B192" s="2076"/>
      <c r="C192" s="73">
        <v>2017</v>
      </c>
      <c r="D192" s="37">
        <v>3450</v>
      </c>
      <c r="E192" s="38">
        <v>6</v>
      </c>
      <c r="F192" s="38"/>
      <c r="G192" s="291">
        <f t="shared" si="21"/>
        <v>3456</v>
      </c>
      <c r="H192" s="112"/>
      <c r="I192" s="38">
        <v>406</v>
      </c>
      <c r="J192" s="38"/>
      <c r="K192" s="38"/>
      <c r="L192" s="88">
        <v>3050</v>
      </c>
    </row>
    <row r="193" spans="1:14" ht="18.75" customHeight="1">
      <c r="A193" s="1874"/>
      <c r="B193" s="2076"/>
      <c r="C193" s="73">
        <v>2018</v>
      </c>
      <c r="D193" s="37"/>
      <c r="E193" s="38"/>
      <c r="F193" s="38"/>
      <c r="G193" s="291">
        <f t="shared" si="21"/>
        <v>0</v>
      </c>
      <c r="H193" s="112"/>
      <c r="I193" s="38"/>
      <c r="J193" s="38"/>
      <c r="K193" s="38"/>
      <c r="L193" s="88"/>
    </row>
    <row r="194" spans="1:14" ht="18.75" customHeight="1">
      <c r="A194" s="1874"/>
      <c r="B194" s="2076"/>
      <c r="C194" s="73">
        <v>2019</v>
      </c>
      <c r="D194" s="37"/>
      <c r="E194" s="38"/>
      <c r="F194" s="38"/>
      <c r="G194" s="291">
        <f t="shared" si="21"/>
        <v>0</v>
      </c>
      <c r="H194" s="112"/>
      <c r="I194" s="38"/>
      <c r="J194" s="38"/>
      <c r="K194" s="38"/>
      <c r="L194" s="88"/>
    </row>
    <row r="195" spans="1:14" ht="18.75" customHeight="1">
      <c r="A195" s="1874"/>
      <c r="B195" s="2076"/>
      <c r="C195" s="73">
        <v>2020</v>
      </c>
      <c r="D195" s="37"/>
      <c r="E195" s="38"/>
      <c r="F195" s="38"/>
      <c r="G195" s="291">
        <f t="shared" si="21"/>
        <v>0</v>
      </c>
      <c r="H195" s="112"/>
      <c r="I195" s="38"/>
      <c r="J195" s="38"/>
      <c r="K195" s="38"/>
      <c r="L195" s="88"/>
    </row>
    <row r="196" spans="1:14" ht="18.75" customHeight="1" thickBot="1">
      <c r="A196" s="1876"/>
      <c r="B196" s="2077"/>
      <c r="C196" s="136" t="s">
        <v>13</v>
      </c>
      <c r="D196" s="139">
        <f t="shared" ref="D196:L196" si="22">SUM(D189:D195)</f>
        <v>4941</v>
      </c>
      <c r="E196" s="116">
        <f t="shared" si="22"/>
        <v>85</v>
      </c>
      <c r="F196" s="116">
        <f t="shared" si="22"/>
        <v>0</v>
      </c>
      <c r="G196" s="292">
        <f t="shared" si="22"/>
        <v>5026</v>
      </c>
      <c r="H196" s="115">
        <f t="shared" si="22"/>
        <v>0</v>
      </c>
      <c r="I196" s="116">
        <f t="shared" si="22"/>
        <v>406</v>
      </c>
      <c r="J196" s="116">
        <f t="shared" si="22"/>
        <v>34</v>
      </c>
      <c r="K196" s="116">
        <f t="shared" si="22"/>
        <v>0</v>
      </c>
      <c r="L196" s="117">
        <f t="shared" si="22"/>
        <v>4586</v>
      </c>
    </row>
    <row r="197" spans="1:14" ht="10.5" customHeight="1"/>
    <row r="198" spans="1:14" ht="6.75" customHeight="1"/>
    <row r="199" spans="1:14" ht="21">
      <c r="A199" s="293" t="s">
        <v>149</v>
      </c>
      <c r="B199" s="293"/>
      <c r="C199" s="294"/>
      <c r="D199" s="294"/>
      <c r="E199" s="294"/>
      <c r="F199" s="294"/>
      <c r="G199" s="294"/>
      <c r="H199" s="294"/>
      <c r="I199" s="294"/>
      <c r="J199" s="294"/>
      <c r="K199" s="294"/>
      <c r="L199" s="294"/>
      <c r="M199" s="65"/>
      <c r="N199" s="65"/>
    </row>
    <row r="200" spans="1:14" ht="10.5" customHeight="1" thickBot="1">
      <c r="A200" s="295"/>
      <c r="B200" s="295"/>
      <c r="C200" s="294"/>
      <c r="D200" s="294"/>
      <c r="E200" s="294"/>
      <c r="F200" s="294"/>
      <c r="G200" s="294"/>
      <c r="H200" s="294"/>
      <c r="I200" s="294"/>
      <c r="J200" s="294"/>
      <c r="K200" s="294"/>
      <c r="L200" s="294"/>
    </row>
    <row r="201" spans="1:14" s="56" customFormat="1" ht="101.25" customHeight="1">
      <c r="A201" s="569" t="s">
        <v>150</v>
      </c>
      <c r="B201" s="417" t="s">
        <v>182</v>
      </c>
      <c r="C201" s="298" t="s">
        <v>9</v>
      </c>
      <c r="D201" s="299" t="s">
        <v>151</v>
      </c>
      <c r="E201" s="300" t="s">
        <v>152</v>
      </c>
      <c r="F201" s="300" t="s">
        <v>153</v>
      </c>
      <c r="G201" s="298" t="s">
        <v>154</v>
      </c>
      <c r="H201" s="570" t="s">
        <v>155</v>
      </c>
      <c r="I201" s="302" t="s">
        <v>156</v>
      </c>
      <c r="J201" s="303" t="s">
        <v>157</v>
      </c>
      <c r="K201" s="300" t="s">
        <v>158</v>
      </c>
      <c r="L201" s="304" t="s">
        <v>159</v>
      </c>
    </row>
    <row r="202" spans="1:14" ht="15" customHeight="1">
      <c r="A202" s="1854" t="s">
        <v>266</v>
      </c>
      <c r="B202" s="1855"/>
      <c r="C202" s="72">
        <v>2014</v>
      </c>
      <c r="D202" s="30"/>
      <c r="E202" s="31"/>
      <c r="F202" s="31"/>
      <c r="G202" s="29"/>
      <c r="H202" s="305"/>
      <c r="I202" s="306"/>
      <c r="J202" s="307"/>
      <c r="K202" s="31"/>
      <c r="L202" s="34"/>
    </row>
    <row r="203" spans="1:14">
      <c r="A203" s="1854"/>
      <c r="B203" s="1855"/>
      <c r="C203" s="73">
        <v>2015</v>
      </c>
      <c r="D203" s="37"/>
      <c r="E203" s="38"/>
      <c r="F203" s="38"/>
      <c r="G203" s="36"/>
      <c r="H203" s="308"/>
      <c r="I203" s="309"/>
      <c r="J203" s="310"/>
      <c r="K203" s="38"/>
      <c r="L203" s="88"/>
    </row>
    <row r="204" spans="1:14">
      <c r="A204" s="1854"/>
      <c r="B204" s="1855"/>
      <c r="C204" s="73">
        <v>2016</v>
      </c>
      <c r="D204" s="37"/>
      <c r="E204" s="38"/>
      <c r="F204" s="38"/>
      <c r="G204" s="36"/>
      <c r="H204" s="308"/>
      <c r="I204" s="309"/>
      <c r="J204" s="310"/>
      <c r="K204" s="38"/>
      <c r="L204" s="88"/>
    </row>
    <row r="205" spans="1:14">
      <c r="A205" s="1854"/>
      <c r="B205" s="1855"/>
      <c r="C205" s="73">
        <v>2017</v>
      </c>
      <c r="D205" s="37"/>
      <c r="E205" s="38"/>
      <c r="F205" s="38"/>
      <c r="G205" s="36"/>
      <c r="H205" s="308"/>
      <c r="I205" s="309"/>
      <c r="J205" s="310"/>
      <c r="K205" s="38"/>
      <c r="L205" s="88"/>
    </row>
    <row r="206" spans="1:14">
      <c r="A206" s="1854"/>
      <c r="B206" s="1855"/>
      <c r="C206" s="73">
        <v>2018</v>
      </c>
      <c r="D206" s="37"/>
      <c r="E206" s="38"/>
      <c r="F206" s="38"/>
      <c r="G206" s="36"/>
      <c r="H206" s="308"/>
      <c r="I206" s="309"/>
      <c r="J206" s="310"/>
      <c r="K206" s="38"/>
      <c r="L206" s="88"/>
    </row>
    <row r="207" spans="1:14">
      <c r="A207" s="1854"/>
      <c r="B207" s="1855"/>
      <c r="C207" s="73">
        <v>2019</v>
      </c>
      <c r="D207" s="37"/>
      <c r="E207" s="38"/>
      <c r="F207" s="38"/>
      <c r="G207" s="36"/>
      <c r="H207" s="308"/>
      <c r="I207" s="309"/>
      <c r="J207" s="310"/>
      <c r="K207" s="38"/>
      <c r="L207" s="88"/>
    </row>
    <row r="208" spans="1:14">
      <c r="A208" s="1854"/>
      <c r="B208" s="1855"/>
      <c r="C208" s="73">
        <v>2020</v>
      </c>
      <c r="D208" s="311"/>
      <c r="E208" s="312"/>
      <c r="F208" s="312"/>
      <c r="G208" s="313"/>
      <c r="H208" s="314"/>
      <c r="I208" s="315"/>
      <c r="J208" s="316"/>
      <c r="K208" s="312"/>
      <c r="L208" s="317"/>
    </row>
    <row r="209" spans="1:12" ht="20.25" customHeight="1" thickBot="1">
      <c r="A209" s="1856"/>
      <c r="B209" s="1857"/>
      <c r="C209" s="136" t="s">
        <v>13</v>
      </c>
      <c r="D209" s="139">
        <f>SUM(D202:D208)</f>
        <v>0</v>
      </c>
      <c r="E209" s="139">
        <f t="shared" ref="E209:L209" si="23">SUM(E202:E208)</f>
        <v>0</v>
      </c>
      <c r="F209" s="139">
        <f t="shared" si="23"/>
        <v>0</v>
      </c>
      <c r="G209" s="139">
        <f t="shared" si="23"/>
        <v>0</v>
      </c>
      <c r="H209" s="139">
        <f t="shared" si="23"/>
        <v>0</v>
      </c>
      <c r="I209" s="139">
        <f t="shared" si="23"/>
        <v>0</v>
      </c>
      <c r="J209" s="139">
        <f t="shared" si="23"/>
        <v>0</v>
      </c>
      <c r="K209" s="139">
        <f t="shared" si="23"/>
        <v>0</v>
      </c>
      <c r="L209" s="139">
        <f t="shared" si="23"/>
        <v>0</v>
      </c>
    </row>
    <row r="211" spans="1:12" ht="15.75" thickBot="1"/>
    <row r="212" spans="1:12" ht="29.25">
      <c r="A212" s="571" t="s">
        <v>161</v>
      </c>
      <c r="B212" s="322" t="s">
        <v>162</v>
      </c>
      <c r="C212" s="323">
        <v>2014</v>
      </c>
      <c r="D212" s="324">
        <v>2015</v>
      </c>
      <c r="E212" s="324">
        <v>2016</v>
      </c>
      <c r="F212" s="324">
        <v>2017</v>
      </c>
      <c r="G212" s="324">
        <v>2018</v>
      </c>
      <c r="H212" s="324">
        <v>2019</v>
      </c>
      <c r="I212" s="325">
        <v>2020</v>
      </c>
    </row>
    <row r="213" spans="1:12" ht="30.75" customHeight="1">
      <c r="A213" t="s">
        <v>163</v>
      </c>
      <c r="B213" s="2078" t="s">
        <v>272</v>
      </c>
      <c r="C213" s="72"/>
      <c r="D213" s="604">
        <f>SUM(D214:D217)</f>
        <v>108328.41</v>
      </c>
      <c r="E213" s="604">
        <f>SUM(E214:E217)</f>
        <v>574393.78</v>
      </c>
      <c r="F213" s="605">
        <f>SUM(F214:F217)</f>
        <v>487295.04</v>
      </c>
      <c r="G213" s="135"/>
      <c r="H213" s="135"/>
      <c r="I213" s="326"/>
    </row>
    <row r="214" spans="1:12" ht="37.5" customHeight="1">
      <c r="A214" t="s">
        <v>164</v>
      </c>
      <c r="B214" s="2079"/>
      <c r="C214" s="72"/>
      <c r="D214" s="328">
        <v>81629.73</v>
      </c>
      <c r="E214" s="606">
        <v>331249.19</v>
      </c>
      <c r="F214" s="606">
        <v>253129.97</v>
      </c>
      <c r="G214" s="135"/>
      <c r="H214" s="135"/>
      <c r="I214" s="326"/>
    </row>
    <row r="215" spans="1:12" ht="44.25" customHeight="1">
      <c r="A215" t="s">
        <v>165</v>
      </c>
      <c r="B215" s="2079"/>
      <c r="C215" s="72"/>
      <c r="D215" s="328">
        <v>0</v>
      </c>
      <c r="E215" s="606">
        <v>0</v>
      </c>
      <c r="F215" s="606">
        <v>0</v>
      </c>
      <c r="G215" s="135"/>
      <c r="H215" s="135"/>
      <c r="I215" s="326"/>
    </row>
    <row r="216" spans="1:12" ht="39.75" customHeight="1">
      <c r="A216" t="s">
        <v>166</v>
      </c>
      <c r="B216" s="2079"/>
      <c r="C216" s="72"/>
      <c r="D216" s="328">
        <v>15450</v>
      </c>
      <c r="E216" s="606">
        <v>122534.84</v>
      </c>
      <c r="F216" s="606">
        <v>126770.25</v>
      </c>
      <c r="G216" s="135"/>
      <c r="H216" s="135"/>
      <c r="I216" s="326"/>
    </row>
    <row r="217" spans="1:12" ht="36.75" customHeight="1">
      <c r="A217" t="s">
        <v>167</v>
      </c>
      <c r="B217" s="2079"/>
      <c r="C217" s="72"/>
      <c r="D217" s="328">
        <v>11248.68</v>
      </c>
      <c r="E217" s="606">
        <v>120609.75</v>
      </c>
      <c r="F217" s="606">
        <v>107394.82</v>
      </c>
      <c r="G217" s="135"/>
      <c r="H217" s="135"/>
      <c r="I217" s="326"/>
    </row>
    <row r="218" spans="1:12" ht="57" customHeight="1">
      <c r="A218" s="56" t="s">
        <v>168</v>
      </c>
      <c r="B218" s="2079"/>
      <c r="C218" s="72"/>
      <c r="D218" s="328">
        <v>189328.14</v>
      </c>
      <c r="E218" s="604">
        <v>292064.26</v>
      </c>
      <c r="F218" s="604">
        <v>228462.72</v>
      </c>
      <c r="G218" s="135"/>
      <c r="H218" s="135"/>
      <c r="I218" s="326"/>
    </row>
    <row r="219" spans="1:12" ht="30" customHeight="1" thickBot="1">
      <c r="A219" s="331"/>
      <c r="B219" s="2080"/>
      <c r="C219" s="42" t="s">
        <v>13</v>
      </c>
      <c r="D219" s="332">
        <f>SUM(D214:D218)</f>
        <v>297656.55000000005</v>
      </c>
      <c r="E219" s="332">
        <f>SUM(E213,E218)</f>
        <v>866458.04</v>
      </c>
      <c r="F219" s="332">
        <f t="shared" ref="F219:I219" si="24">SUM(F214:F218)</f>
        <v>715757.76</v>
      </c>
      <c r="G219" s="333">
        <f t="shared" si="24"/>
        <v>0</v>
      </c>
      <c r="H219" s="333">
        <f t="shared" si="24"/>
        <v>0</v>
      </c>
      <c r="I219" s="333">
        <f t="shared" si="24"/>
        <v>0</v>
      </c>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5"/>
  <sheetViews>
    <sheetView topLeftCell="C1" zoomScale="70" zoomScaleNormal="70" workbookViewId="0">
      <selection activeCell="H18" sqref="H18:O18"/>
    </sheetView>
  </sheetViews>
  <sheetFormatPr defaultColWidth="26.28515625" defaultRowHeight="15"/>
  <cols>
    <col min="1" max="1" width="59.5703125" style="921" customWidth="1"/>
    <col min="2" max="2" width="51.42578125" customWidth="1"/>
  </cols>
  <sheetData>
    <row r="1" spans="1:17" ht="15.75">
      <c r="A1" s="607" t="s">
        <v>0</v>
      </c>
      <c r="B1" s="2162" t="s">
        <v>273</v>
      </c>
      <c r="C1" s="2163"/>
      <c r="D1" s="2163"/>
      <c r="E1" s="2163"/>
      <c r="F1" s="2163"/>
      <c r="G1" s="608"/>
      <c r="H1" s="608"/>
      <c r="I1" s="608"/>
      <c r="J1" s="608"/>
      <c r="K1" s="608"/>
      <c r="L1" s="608"/>
      <c r="M1" s="608"/>
      <c r="N1" s="608"/>
      <c r="O1" s="608"/>
      <c r="P1" s="608"/>
      <c r="Q1" s="608"/>
    </row>
    <row r="2" spans="1:17" ht="16.5" thickBot="1">
      <c r="A2" s="607"/>
      <c r="B2" s="608"/>
      <c r="C2" s="608"/>
      <c r="D2" s="608"/>
      <c r="E2" s="608"/>
      <c r="F2" s="608"/>
      <c r="G2" s="608"/>
      <c r="H2" s="608"/>
      <c r="I2" s="608"/>
      <c r="J2" s="608"/>
      <c r="K2" s="608"/>
      <c r="L2" s="608"/>
      <c r="M2" s="608"/>
      <c r="N2" s="608"/>
      <c r="O2" s="608"/>
      <c r="P2" s="608"/>
      <c r="Q2" s="608"/>
    </row>
    <row r="3" spans="1:17" ht="15.75">
      <c r="A3" s="609" t="s">
        <v>2</v>
      </c>
      <c r="B3" s="610"/>
      <c r="C3" s="610"/>
      <c r="D3" s="610"/>
      <c r="E3" s="610"/>
      <c r="F3" s="2164"/>
      <c r="G3" s="2164"/>
      <c r="H3" s="2164"/>
      <c r="I3" s="2164"/>
      <c r="J3" s="2164"/>
      <c r="K3" s="2164"/>
      <c r="L3" s="2164"/>
      <c r="M3" s="2164"/>
      <c r="N3" s="2164"/>
      <c r="O3" s="2165"/>
      <c r="P3" s="611"/>
      <c r="Q3" s="611"/>
    </row>
    <row r="4" spans="1:17" ht="15.75">
      <c r="A4" s="2166" t="s">
        <v>274</v>
      </c>
      <c r="B4" s="2167"/>
      <c r="C4" s="2167"/>
      <c r="D4" s="2167"/>
      <c r="E4" s="2167"/>
      <c r="F4" s="2167"/>
      <c r="G4" s="2167"/>
      <c r="H4" s="2167"/>
      <c r="I4" s="2167"/>
      <c r="J4" s="2167"/>
      <c r="K4" s="2167"/>
      <c r="L4" s="2167"/>
      <c r="M4" s="2167"/>
      <c r="N4" s="2167"/>
      <c r="O4" s="2168"/>
      <c r="P4" s="611"/>
      <c r="Q4" s="611"/>
    </row>
    <row r="5" spans="1:17" ht="15.75">
      <c r="A5" s="2166"/>
      <c r="B5" s="2167"/>
      <c r="C5" s="2167"/>
      <c r="D5" s="2167"/>
      <c r="E5" s="2167"/>
      <c r="F5" s="2167"/>
      <c r="G5" s="2167"/>
      <c r="H5" s="2167"/>
      <c r="I5" s="2167"/>
      <c r="J5" s="2167"/>
      <c r="K5" s="2167"/>
      <c r="L5" s="2167"/>
      <c r="M5" s="2167"/>
      <c r="N5" s="2167"/>
      <c r="O5" s="2168"/>
      <c r="P5" s="611"/>
      <c r="Q5" s="611"/>
    </row>
    <row r="6" spans="1:17" ht="15.75">
      <c r="A6" s="2166"/>
      <c r="B6" s="2167"/>
      <c r="C6" s="2167"/>
      <c r="D6" s="2167"/>
      <c r="E6" s="2167"/>
      <c r="F6" s="2167"/>
      <c r="G6" s="2167"/>
      <c r="H6" s="2167"/>
      <c r="I6" s="2167"/>
      <c r="J6" s="2167"/>
      <c r="K6" s="2167"/>
      <c r="L6" s="2167"/>
      <c r="M6" s="2167"/>
      <c r="N6" s="2167"/>
      <c r="O6" s="2168"/>
      <c r="P6" s="611"/>
      <c r="Q6" s="611"/>
    </row>
    <row r="7" spans="1:17" ht="15.75">
      <c r="A7" s="2166"/>
      <c r="B7" s="2167"/>
      <c r="C7" s="2167"/>
      <c r="D7" s="2167"/>
      <c r="E7" s="2167"/>
      <c r="F7" s="2167"/>
      <c r="G7" s="2167"/>
      <c r="H7" s="2167"/>
      <c r="I7" s="2167"/>
      <c r="J7" s="2167"/>
      <c r="K7" s="2167"/>
      <c r="L7" s="2167"/>
      <c r="M7" s="2167"/>
      <c r="N7" s="2167"/>
      <c r="O7" s="2168"/>
      <c r="P7" s="611"/>
      <c r="Q7" s="611"/>
    </row>
    <row r="8" spans="1:17" ht="15.75">
      <c r="A8" s="2166"/>
      <c r="B8" s="2167"/>
      <c r="C8" s="2167"/>
      <c r="D8" s="2167"/>
      <c r="E8" s="2167"/>
      <c r="F8" s="2167"/>
      <c r="G8" s="2167"/>
      <c r="H8" s="2167"/>
      <c r="I8" s="2167"/>
      <c r="J8" s="2167"/>
      <c r="K8" s="2167"/>
      <c r="L8" s="2167"/>
      <c r="M8" s="2167"/>
      <c r="N8" s="2167"/>
      <c r="O8" s="2168"/>
      <c r="P8" s="611"/>
      <c r="Q8" s="611"/>
    </row>
    <row r="9" spans="1:17" ht="15.75">
      <c r="A9" s="2166"/>
      <c r="B9" s="2167"/>
      <c r="C9" s="2167"/>
      <c r="D9" s="2167"/>
      <c r="E9" s="2167"/>
      <c r="F9" s="2167"/>
      <c r="G9" s="2167"/>
      <c r="H9" s="2167"/>
      <c r="I9" s="2167"/>
      <c r="J9" s="2167"/>
      <c r="K9" s="2167"/>
      <c r="L9" s="2167"/>
      <c r="M9" s="2167"/>
      <c r="N9" s="2167"/>
      <c r="O9" s="2168"/>
      <c r="P9" s="611"/>
      <c r="Q9" s="611"/>
    </row>
    <row r="10" spans="1:17" ht="16.5" thickBot="1">
      <c r="A10" s="2169"/>
      <c r="B10" s="2170"/>
      <c r="C10" s="2170"/>
      <c r="D10" s="2170"/>
      <c r="E10" s="2170"/>
      <c r="F10" s="2170"/>
      <c r="G10" s="2170"/>
      <c r="H10" s="2170"/>
      <c r="I10" s="2170"/>
      <c r="J10" s="2170"/>
      <c r="K10" s="2170"/>
      <c r="L10" s="2170"/>
      <c r="M10" s="2170"/>
      <c r="N10" s="2170"/>
      <c r="O10" s="2171"/>
      <c r="P10" s="611"/>
      <c r="Q10" s="611"/>
    </row>
    <row r="11" spans="1:17" ht="15.75">
      <c r="A11" s="607"/>
      <c r="B11" s="608"/>
      <c r="C11" s="608"/>
      <c r="D11" s="608"/>
      <c r="E11" s="608"/>
      <c r="F11" s="608"/>
      <c r="G11" s="608"/>
      <c r="H11" s="608"/>
      <c r="I11" s="608"/>
      <c r="J11" s="608"/>
      <c r="K11" s="608"/>
      <c r="L11" s="608"/>
      <c r="M11" s="608"/>
      <c r="N11" s="608"/>
      <c r="O11" s="608"/>
      <c r="P11" s="608"/>
      <c r="Q11" s="608"/>
    </row>
    <row r="12" spans="1:17" ht="15.75">
      <c r="A12" s="612"/>
      <c r="B12" s="613"/>
      <c r="C12" s="613"/>
      <c r="D12" s="613"/>
      <c r="E12" s="613"/>
      <c r="F12" s="613"/>
      <c r="G12" s="613"/>
      <c r="H12" s="613"/>
      <c r="I12" s="613"/>
      <c r="J12" s="613"/>
      <c r="K12" s="613"/>
      <c r="L12" s="613"/>
      <c r="M12" s="613"/>
      <c r="N12" s="613"/>
      <c r="O12" s="613"/>
      <c r="P12" s="613"/>
      <c r="Q12" s="613"/>
    </row>
    <row r="13" spans="1:17" ht="15.75">
      <c r="A13" s="614" t="s">
        <v>4</v>
      </c>
      <c r="B13" s="615"/>
      <c r="C13" s="616"/>
      <c r="D13" s="616"/>
      <c r="E13" s="616"/>
      <c r="F13" s="616"/>
      <c r="G13" s="616"/>
      <c r="H13" s="616"/>
      <c r="I13" s="616"/>
      <c r="J13" s="616"/>
      <c r="K13" s="616"/>
      <c r="L13" s="616"/>
      <c r="M13" s="616"/>
      <c r="N13" s="616"/>
      <c r="O13" s="616"/>
      <c r="P13" s="613"/>
      <c r="Q13" s="613"/>
    </row>
    <row r="14" spans="1:17" ht="16.5" thickBot="1">
      <c r="A14" s="612"/>
      <c r="B14" s="613"/>
      <c r="C14" s="613"/>
      <c r="D14" s="613"/>
      <c r="E14" s="613"/>
      <c r="F14" s="613"/>
      <c r="G14" s="613"/>
      <c r="H14" s="613"/>
      <c r="I14" s="613"/>
      <c r="J14" s="613"/>
      <c r="K14" s="613"/>
      <c r="L14" s="613"/>
      <c r="M14" s="613"/>
      <c r="N14" s="613"/>
      <c r="O14" s="613"/>
      <c r="P14" s="617"/>
      <c r="Q14" s="617"/>
    </row>
    <row r="15" spans="1:17" ht="15.75">
      <c r="A15" s="618"/>
      <c r="B15" s="619"/>
      <c r="C15" s="620"/>
      <c r="D15" s="2172" t="s">
        <v>5</v>
      </c>
      <c r="E15" s="2173"/>
      <c r="F15" s="2173"/>
      <c r="G15" s="2173"/>
      <c r="H15" s="621"/>
      <c r="I15" s="622" t="s">
        <v>6</v>
      </c>
      <c r="J15" s="623"/>
      <c r="K15" s="623"/>
      <c r="L15" s="623"/>
      <c r="M15" s="623"/>
      <c r="N15" s="623"/>
      <c r="O15" s="624"/>
      <c r="P15" s="625"/>
      <c r="Q15" s="625"/>
    </row>
    <row r="16" spans="1:17" ht="120.75">
      <c r="A16" s="626" t="s">
        <v>7</v>
      </c>
      <c r="B16" s="627" t="s">
        <v>275</v>
      </c>
      <c r="C16" s="628" t="s">
        <v>9</v>
      </c>
      <c r="D16" s="629" t="s">
        <v>10</v>
      </c>
      <c r="E16" s="630" t="s">
        <v>11</v>
      </c>
      <c r="F16" s="630" t="s">
        <v>12</v>
      </c>
      <c r="G16" s="631" t="s">
        <v>13</v>
      </c>
      <c r="H16" s="632" t="s">
        <v>14</v>
      </c>
      <c r="I16" s="633" t="s">
        <v>15</v>
      </c>
      <c r="J16" s="633" t="s">
        <v>16</v>
      </c>
      <c r="K16" s="633" t="s">
        <v>17</v>
      </c>
      <c r="L16" s="633" t="s">
        <v>18</v>
      </c>
      <c r="M16" s="634" t="s">
        <v>19</v>
      </c>
      <c r="N16" s="633" t="s">
        <v>20</v>
      </c>
      <c r="O16" s="635" t="s">
        <v>21</v>
      </c>
      <c r="P16" s="636"/>
      <c r="Q16" s="636"/>
    </row>
    <row r="17" spans="1:17" ht="15.75">
      <c r="A17" s="2100" t="s">
        <v>276</v>
      </c>
      <c r="B17" s="2097"/>
      <c r="C17" s="637">
        <v>2014</v>
      </c>
      <c r="D17" s="638"/>
      <c r="E17" s="639"/>
      <c r="F17" s="639"/>
      <c r="G17" s="640">
        <f t="shared" ref="G17:G23" si="0">SUM(D17:F17)</f>
        <v>0</v>
      </c>
      <c r="H17" s="641"/>
      <c r="I17" s="639"/>
      <c r="J17" s="639"/>
      <c r="K17" s="639"/>
      <c r="L17" s="639"/>
      <c r="M17" s="639"/>
      <c r="N17" s="639"/>
      <c r="O17" s="642"/>
      <c r="P17" s="643"/>
      <c r="Q17" s="643"/>
    </row>
    <row r="18" spans="1:17" ht="15.75">
      <c r="A18" s="2100"/>
      <c r="B18" s="2097"/>
      <c r="C18" s="644">
        <v>2015</v>
      </c>
      <c r="D18" s="645">
        <v>31</v>
      </c>
      <c r="E18" s="646">
        <v>0</v>
      </c>
      <c r="F18" s="646">
        <v>0</v>
      </c>
      <c r="G18" s="640">
        <f>SUM(D18:F18)</f>
        <v>31</v>
      </c>
      <c r="H18" s="647">
        <v>0</v>
      </c>
      <c r="I18" s="646">
        <v>0</v>
      </c>
      <c r="J18" s="646">
        <v>0</v>
      </c>
      <c r="K18" s="646">
        <v>27</v>
      </c>
      <c r="L18" s="646">
        <v>1</v>
      </c>
      <c r="M18" s="646">
        <v>0</v>
      </c>
      <c r="N18" s="646">
        <v>0</v>
      </c>
      <c r="O18" s="648">
        <v>3</v>
      </c>
      <c r="P18" s="643"/>
      <c r="Q18" s="643"/>
    </row>
    <row r="19" spans="1:17" ht="15.75">
      <c r="A19" s="2100"/>
      <c r="B19" s="2097"/>
      <c r="C19" s="644">
        <v>2016</v>
      </c>
      <c r="D19" s="645">
        <v>31</v>
      </c>
      <c r="E19" s="646">
        <v>0</v>
      </c>
      <c r="F19" s="646">
        <v>2</v>
      </c>
      <c r="G19" s="640">
        <f t="shared" si="0"/>
        <v>33</v>
      </c>
      <c r="H19" s="647">
        <v>0</v>
      </c>
      <c r="I19" s="646">
        <v>30</v>
      </c>
      <c r="J19" s="646">
        <v>0</v>
      </c>
      <c r="K19" s="646">
        <v>0</v>
      </c>
      <c r="L19" s="646">
        <v>1</v>
      </c>
      <c r="M19" s="646">
        <v>1</v>
      </c>
      <c r="N19" s="646">
        <v>0</v>
      </c>
      <c r="O19" s="648">
        <v>1</v>
      </c>
      <c r="P19" s="643"/>
      <c r="Q19" s="643"/>
    </row>
    <row r="20" spans="1:17" ht="15.75">
      <c r="A20" s="2100"/>
      <c r="B20" s="2097"/>
      <c r="C20" s="644">
        <v>2017</v>
      </c>
      <c r="D20" s="645">
        <v>37</v>
      </c>
      <c r="E20" s="646">
        <v>0</v>
      </c>
      <c r="F20" s="646">
        <v>1</v>
      </c>
      <c r="G20" s="640">
        <f t="shared" si="0"/>
        <v>38</v>
      </c>
      <c r="H20" s="647">
        <v>2</v>
      </c>
      <c r="I20" s="646">
        <v>3</v>
      </c>
      <c r="J20" s="646">
        <v>0</v>
      </c>
      <c r="K20" s="646">
        <v>29</v>
      </c>
      <c r="L20" s="646">
        <v>0</v>
      </c>
      <c r="M20" s="646">
        <v>4</v>
      </c>
      <c r="N20" s="646">
        <v>0</v>
      </c>
      <c r="O20" s="648">
        <v>0</v>
      </c>
      <c r="P20" s="643"/>
      <c r="Q20" s="643"/>
    </row>
    <row r="21" spans="1:17" ht="15.75">
      <c r="A21" s="2100"/>
      <c r="B21" s="2097"/>
      <c r="C21" s="644">
        <v>2018</v>
      </c>
      <c r="D21" s="645"/>
      <c r="E21" s="646"/>
      <c r="F21" s="646"/>
      <c r="G21" s="640">
        <f t="shared" si="0"/>
        <v>0</v>
      </c>
      <c r="H21" s="647"/>
      <c r="I21" s="646"/>
      <c r="J21" s="646"/>
      <c r="K21" s="646"/>
      <c r="L21" s="646"/>
      <c r="M21" s="646"/>
      <c r="N21" s="646"/>
      <c r="O21" s="648"/>
      <c r="P21" s="643"/>
      <c r="Q21" s="643"/>
    </row>
    <row r="22" spans="1:17" ht="15.75">
      <c r="A22" s="2100"/>
      <c r="B22" s="2097"/>
      <c r="C22" s="649">
        <v>2019</v>
      </c>
      <c r="D22" s="645"/>
      <c r="E22" s="646"/>
      <c r="F22" s="646"/>
      <c r="G22" s="640">
        <f>SUM(D22:F22)</f>
        <v>0</v>
      </c>
      <c r="H22" s="647"/>
      <c r="I22" s="646"/>
      <c r="J22" s="646"/>
      <c r="K22" s="646"/>
      <c r="L22" s="646"/>
      <c r="M22" s="646"/>
      <c r="N22" s="646"/>
      <c r="O22" s="648"/>
      <c r="P22" s="643"/>
      <c r="Q22" s="643"/>
    </row>
    <row r="23" spans="1:17" ht="15.75">
      <c r="A23" s="2100"/>
      <c r="B23" s="2097"/>
      <c r="C23" s="644">
        <v>2020</v>
      </c>
      <c r="D23" s="645"/>
      <c r="E23" s="646"/>
      <c r="F23" s="646"/>
      <c r="G23" s="640">
        <f t="shared" si="0"/>
        <v>0</v>
      </c>
      <c r="H23" s="647"/>
      <c r="I23" s="646"/>
      <c r="J23" s="646"/>
      <c r="K23" s="646"/>
      <c r="L23" s="646"/>
      <c r="M23" s="646"/>
      <c r="N23" s="646"/>
      <c r="O23" s="648"/>
      <c r="P23" s="643"/>
      <c r="Q23" s="643"/>
    </row>
    <row r="24" spans="1:17" ht="16.5" thickBot="1">
      <c r="A24" s="2101"/>
      <c r="B24" s="2099"/>
      <c r="C24" s="650" t="s">
        <v>13</v>
      </c>
      <c r="D24" s="651">
        <f>SUM(D17:D23)</f>
        <v>99</v>
      </c>
      <c r="E24" s="652">
        <f>SUM(E17:E23)</f>
        <v>0</v>
      </c>
      <c r="F24" s="652">
        <f>SUM(F17:F23)</f>
        <v>3</v>
      </c>
      <c r="G24" s="653">
        <f>SUM(D24:F24)</f>
        <v>102</v>
      </c>
      <c r="H24" s="654">
        <f>SUM(H17:H23)</f>
        <v>2</v>
      </c>
      <c r="I24" s="655">
        <f>SUM(I17:I23)</f>
        <v>33</v>
      </c>
      <c r="J24" s="655">
        <f t="shared" ref="J24:N24" si="1">SUM(J17:J23)</f>
        <v>0</v>
      </c>
      <c r="K24" s="655">
        <f t="shared" si="1"/>
        <v>56</v>
      </c>
      <c r="L24" s="655">
        <f t="shared" si="1"/>
        <v>2</v>
      </c>
      <c r="M24" s="655">
        <f t="shared" si="1"/>
        <v>5</v>
      </c>
      <c r="N24" s="655">
        <f t="shared" si="1"/>
        <v>0</v>
      </c>
      <c r="O24" s="656">
        <f>SUM(O17:O23)</f>
        <v>4</v>
      </c>
      <c r="P24" s="643"/>
      <c r="Q24" s="643"/>
    </row>
    <row r="25" spans="1:17" ht="16.5" thickBot="1">
      <c r="A25" s="612"/>
      <c r="B25" s="613"/>
      <c r="C25" s="657"/>
      <c r="D25" s="613"/>
      <c r="E25" s="613"/>
      <c r="F25" s="613"/>
      <c r="G25" s="613"/>
      <c r="H25" s="617"/>
      <c r="I25" s="617"/>
      <c r="J25" s="617"/>
      <c r="K25" s="617"/>
      <c r="L25" s="617"/>
      <c r="M25" s="617"/>
      <c r="N25" s="617"/>
      <c r="O25" s="617"/>
      <c r="P25" s="617"/>
      <c r="Q25" s="617"/>
    </row>
    <row r="26" spans="1:17" ht="15.75">
      <c r="A26" s="618"/>
      <c r="B26" s="619"/>
      <c r="C26" s="658"/>
      <c r="D26" s="2174" t="s">
        <v>5</v>
      </c>
      <c r="E26" s="2173"/>
      <c r="F26" s="2173"/>
      <c r="G26" s="2175"/>
      <c r="H26" s="625"/>
      <c r="I26" s="625"/>
      <c r="J26" s="659"/>
      <c r="K26" s="659"/>
      <c r="L26" s="659"/>
      <c r="M26" s="659"/>
      <c r="N26" s="659"/>
      <c r="O26" s="625"/>
      <c r="P26" s="625"/>
      <c r="Q26" s="660"/>
    </row>
    <row r="27" spans="1:17" ht="46.5">
      <c r="A27" s="661" t="s">
        <v>23</v>
      </c>
      <c r="B27" s="627" t="s">
        <v>275</v>
      </c>
      <c r="C27" s="662" t="s">
        <v>9</v>
      </c>
      <c r="D27" s="663" t="s">
        <v>10</v>
      </c>
      <c r="E27" s="630" t="s">
        <v>11</v>
      </c>
      <c r="F27" s="630" t="s">
        <v>12</v>
      </c>
      <c r="G27" s="664" t="s">
        <v>13</v>
      </c>
      <c r="H27" s="636"/>
      <c r="I27" s="636"/>
      <c r="J27" s="636"/>
      <c r="K27" s="636"/>
      <c r="L27" s="636"/>
      <c r="M27" s="636"/>
      <c r="N27" s="636"/>
      <c r="O27" s="636"/>
      <c r="P27" s="636"/>
      <c r="Q27" s="660"/>
    </row>
    <row r="28" spans="1:17" ht="15.75">
      <c r="A28" s="2158" t="s">
        <v>277</v>
      </c>
      <c r="B28" s="2176"/>
      <c r="C28" s="665">
        <v>2014</v>
      </c>
      <c r="D28" s="641"/>
      <c r="E28" s="639"/>
      <c r="F28" s="639"/>
      <c r="G28" s="666">
        <f>SUM(D28:F28)</f>
        <v>0</v>
      </c>
      <c r="H28" s="643"/>
      <c r="I28" s="643"/>
      <c r="J28" s="643"/>
      <c r="K28" s="643"/>
      <c r="L28" s="643"/>
      <c r="M28" s="643"/>
      <c r="N28" s="643"/>
      <c r="O28" s="643"/>
      <c r="P28" s="643"/>
      <c r="Q28" s="617"/>
    </row>
    <row r="29" spans="1:17" ht="15.75">
      <c r="A29" s="2158"/>
      <c r="B29" s="2176"/>
      <c r="C29" s="667">
        <v>2015</v>
      </c>
      <c r="D29" s="647">
        <v>60373</v>
      </c>
      <c r="E29" s="646"/>
      <c r="F29" s="646"/>
      <c r="G29" s="666">
        <f t="shared" ref="G29:G35" si="2">SUM(D29:F29)</f>
        <v>60373</v>
      </c>
      <c r="H29" s="643"/>
      <c r="I29" s="643"/>
      <c r="J29" s="643"/>
      <c r="K29" s="643"/>
      <c r="L29" s="643"/>
      <c r="M29" s="643"/>
      <c r="N29" s="643"/>
      <c r="O29" s="643"/>
      <c r="P29" s="643"/>
      <c r="Q29" s="617"/>
    </row>
    <row r="30" spans="1:17" ht="15.75">
      <c r="A30" s="2158"/>
      <c r="B30" s="2176"/>
      <c r="C30" s="667">
        <v>2016</v>
      </c>
      <c r="D30" s="647">
        <v>74435</v>
      </c>
      <c r="E30" s="646"/>
      <c r="F30" s="646">
        <v>13000</v>
      </c>
      <c r="G30" s="666">
        <f t="shared" si="2"/>
        <v>87435</v>
      </c>
      <c r="H30" s="643"/>
      <c r="I30" s="643"/>
      <c r="J30" s="643"/>
      <c r="K30" s="643"/>
      <c r="L30" s="643"/>
      <c r="M30" s="643"/>
      <c r="N30" s="643"/>
      <c r="O30" s="643"/>
      <c r="P30" s="643"/>
      <c r="Q30" s="617"/>
    </row>
    <row r="31" spans="1:17" ht="15.75">
      <c r="A31" s="2158"/>
      <c r="B31" s="2176"/>
      <c r="C31" s="667">
        <v>2017</v>
      </c>
      <c r="D31" s="647">
        <v>145000</v>
      </c>
      <c r="E31" s="646"/>
      <c r="F31" s="646">
        <v>10000</v>
      </c>
      <c r="G31" s="666">
        <f t="shared" si="2"/>
        <v>155000</v>
      </c>
      <c r="H31" s="643"/>
      <c r="I31" s="643"/>
      <c r="J31" s="643"/>
      <c r="K31" s="643"/>
      <c r="L31" s="643"/>
      <c r="M31" s="643"/>
      <c r="N31" s="643"/>
      <c r="O31" s="643"/>
      <c r="P31" s="643"/>
      <c r="Q31" s="617"/>
    </row>
    <row r="32" spans="1:17" ht="15.75">
      <c r="A32" s="2158"/>
      <c r="B32" s="2176"/>
      <c r="C32" s="667">
        <v>2018</v>
      </c>
      <c r="D32" s="647"/>
      <c r="E32" s="646"/>
      <c r="F32" s="646"/>
      <c r="G32" s="666">
        <f>SUM(D32:F32)</f>
        <v>0</v>
      </c>
      <c r="H32" s="643"/>
      <c r="I32" s="643"/>
      <c r="J32" s="643"/>
      <c r="K32" s="643"/>
      <c r="L32" s="643"/>
      <c r="M32" s="643"/>
      <c r="N32" s="643"/>
      <c r="O32" s="643"/>
      <c r="P32" s="643"/>
      <c r="Q32" s="617"/>
    </row>
    <row r="33" spans="1:17" ht="15.75">
      <c r="A33" s="2158"/>
      <c r="B33" s="2176"/>
      <c r="C33" s="668">
        <v>2019</v>
      </c>
      <c r="D33" s="647"/>
      <c r="E33" s="646"/>
      <c r="F33" s="646"/>
      <c r="G33" s="666">
        <f t="shared" si="2"/>
        <v>0</v>
      </c>
      <c r="H33" s="643"/>
      <c r="I33" s="643"/>
      <c r="J33" s="643"/>
      <c r="K33" s="643"/>
      <c r="L33" s="643"/>
      <c r="M33" s="643"/>
      <c r="N33" s="643"/>
      <c r="O33" s="643"/>
      <c r="P33" s="643"/>
      <c r="Q33" s="617"/>
    </row>
    <row r="34" spans="1:17" ht="15.75">
      <c r="A34" s="2158"/>
      <c r="B34" s="2176"/>
      <c r="C34" s="667">
        <v>2020</v>
      </c>
      <c r="D34" s="647"/>
      <c r="E34" s="646"/>
      <c r="F34" s="646"/>
      <c r="G34" s="666">
        <f t="shared" si="2"/>
        <v>0</v>
      </c>
      <c r="H34" s="643"/>
      <c r="I34" s="643"/>
      <c r="J34" s="643"/>
      <c r="K34" s="643"/>
      <c r="L34" s="643"/>
      <c r="M34" s="643"/>
      <c r="N34" s="643"/>
      <c r="O34" s="643"/>
      <c r="P34" s="643"/>
      <c r="Q34" s="617"/>
    </row>
    <row r="35" spans="1:17" ht="16.5" thickBot="1">
      <c r="A35" s="2177"/>
      <c r="B35" s="2178"/>
      <c r="C35" s="669" t="s">
        <v>13</v>
      </c>
      <c r="D35" s="654">
        <f>SUM(D28:D34)</f>
        <v>279808</v>
      </c>
      <c r="E35" s="652">
        <f>SUM(E28:E34)</f>
        <v>0</v>
      </c>
      <c r="F35" s="652">
        <f>SUM(F28:F34)</f>
        <v>23000</v>
      </c>
      <c r="G35" s="656">
        <f t="shared" si="2"/>
        <v>302808</v>
      </c>
      <c r="H35" s="643"/>
      <c r="I35" s="643"/>
      <c r="J35" s="643"/>
      <c r="K35" s="643"/>
      <c r="L35" s="643"/>
      <c r="M35" s="643"/>
      <c r="N35" s="643"/>
      <c r="O35" s="643"/>
      <c r="P35" s="643"/>
      <c r="Q35" s="617"/>
    </row>
    <row r="36" spans="1:17" ht="15.75">
      <c r="A36" s="670"/>
      <c r="B36" s="671"/>
      <c r="C36" s="657"/>
      <c r="D36" s="613"/>
      <c r="E36" s="613"/>
      <c r="F36" s="613"/>
      <c r="G36" s="613"/>
      <c r="H36" s="617"/>
      <c r="I36" s="617"/>
      <c r="J36" s="617"/>
      <c r="K36" s="617"/>
      <c r="L36" s="617"/>
      <c r="M36" s="617"/>
      <c r="N36" s="617"/>
      <c r="O36" s="617"/>
      <c r="P36" s="617"/>
      <c r="Q36" s="617"/>
    </row>
    <row r="37" spans="1:17" ht="15.75">
      <c r="A37" s="672" t="s">
        <v>25</v>
      </c>
      <c r="B37" s="673"/>
      <c r="C37" s="674"/>
      <c r="D37" s="674"/>
      <c r="E37" s="674"/>
      <c r="F37" s="643"/>
      <c r="G37" s="643"/>
      <c r="H37" s="643"/>
      <c r="I37" s="675"/>
      <c r="J37" s="675"/>
      <c r="K37" s="675"/>
      <c r="L37" s="613"/>
      <c r="M37" s="613"/>
      <c r="N37" s="613"/>
      <c r="O37" s="613"/>
      <c r="P37" s="613"/>
      <c r="Q37" s="613"/>
    </row>
    <row r="38" spans="1:17" ht="16.5" thickBot="1">
      <c r="A38" s="612"/>
      <c r="B38" s="613"/>
      <c r="C38" s="613"/>
      <c r="D38" s="613"/>
      <c r="E38" s="613"/>
      <c r="F38" s="613"/>
      <c r="G38" s="643"/>
      <c r="H38" s="643"/>
      <c r="I38" s="613"/>
      <c r="J38" s="613"/>
      <c r="K38" s="613"/>
      <c r="L38" s="613"/>
      <c r="M38" s="613"/>
      <c r="N38" s="613"/>
      <c r="O38" s="613"/>
      <c r="P38" s="613"/>
      <c r="Q38" s="613"/>
    </row>
    <row r="39" spans="1:17" ht="46.5">
      <c r="A39" s="676" t="s">
        <v>26</v>
      </c>
      <c r="B39" s="677" t="s">
        <v>275</v>
      </c>
      <c r="C39" s="678" t="s">
        <v>9</v>
      </c>
      <c r="D39" s="679" t="s">
        <v>28</v>
      </c>
      <c r="E39" s="680" t="s">
        <v>29</v>
      </c>
      <c r="F39" s="681"/>
      <c r="G39" s="636"/>
      <c r="H39" s="636"/>
      <c r="I39" s="613"/>
      <c r="J39" s="613"/>
      <c r="K39" s="613"/>
      <c r="L39" s="613"/>
      <c r="M39" s="613"/>
      <c r="N39" s="613"/>
      <c r="O39" s="613"/>
      <c r="P39" s="613"/>
      <c r="Q39" s="613"/>
    </row>
    <row r="40" spans="1:17" ht="15.75">
      <c r="A40" s="2100"/>
      <c r="B40" s="2097"/>
      <c r="C40" s="682">
        <v>2014</v>
      </c>
      <c r="D40" s="638"/>
      <c r="E40" s="637"/>
      <c r="F40" s="617"/>
      <c r="G40" s="643"/>
      <c r="H40" s="643"/>
      <c r="I40" s="613"/>
      <c r="J40" s="613"/>
      <c r="K40" s="613"/>
      <c r="L40" s="613"/>
      <c r="M40" s="613"/>
      <c r="N40" s="613"/>
      <c r="O40" s="613"/>
      <c r="P40" s="613"/>
      <c r="Q40" s="613"/>
    </row>
    <row r="41" spans="1:17" ht="15.75">
      <c r="A41" s="2100"/>
      <c r="B41" s="2097"/>
      <c r="C41" s="683">
        <v>2015</v>
      </c>
      <c r="D41" s="645">
        <v>3160</v>
      </c>
      <c r="E41" s="684">
        <v>2406</v>
      </c>
      <c r="F41" s="617"/>
      <c r="G41" s="643"/>
      <c r="H41" s="643"/>
      <c r="I41" s="613"/>
      <c r="J41" s="613"/>
      <c r="K41" s="613"/>
      <c r="L41" s="613"/>
      <c r="M41" s="613"/>
      <c r="N41" s="613"/>
      <c r="O41" s="613"/>
      <c r="P41" s="613"/>
      <c r="Q41" s="613"/>
    </row>
    <row r="42" spans="1:17" ht="16.5" thickBot="1">
      <c r="A42" s="2100"/>
      <c r="B42" s="2097"/>
      <c r="C42" s="683">
        <v>2016</v>
      </c>
      <c r="D42" s="685">
        <v>88084</v>
      </c>
      <c r="E42" s="686">
        <v>65235</v>
      </c>
      <c r="F42" s="617"/>
      <c r="G42" s="643"/>
      <c r="H42" s="643"/>
      <c r="I42" s="613"/>
      <c r="J42" s="613"/>
      <c r="K42" s="613"/>
      <c r="L42" s="613"/>
      <c r="M42" s="613"/>
      <c r="N42" s="613"/>
      <c r="O42" s="613"/>
      <c r="P42" s="613"/>
      <c r="Q42" s="613"/>
    </row>
    <row r="43" spans="1:17" ht="15.75">
      <c r="A43" s="2100"/>
      <c r="B43" s="2097"/>
      <c r="C43" s="683">
        <v>2017</v>
      </c>
      <c r="D43" s="687">
        <v>186495</v>
      </c>
      <c r="E43" s="688">
        <v>139988</v>
      </c>
      <c r="F43" s="617"/>
      <c r="G43" s="643"/>
      <c r="H43" s="643"/>
      <c r="I43" s="613"/>
      <c r="J43" s="613"/>
      <c r="K43" s="613"/>
      <c r="L43" s="613"/>
      <c r="M43" s="613"/>
      <c r="N43" s="613"/>
      <c r="O43" s="613"/>
      <c r="P43" s="613"/>
      <c r="Q43" s="613"/>
    </row>
    <row r="44" spans="1:17" ht="15.75">
      <c r="A44" s="2100"/>
      <c r="B44" s="2097"/>
      <c r="C44" s="683">
        <v>2018</v>
      </c>
      <c r="D44" s="645"/>
      <c r="E44" s="644"/>
      <c r="F44" s="617"/>
      <c r="G44" s="643"/>
      <c r="H44" s="643"/>
      <c r="I44" s="613"/>
      <c r="J44" s="613"/>
      <c r="K44" s="613"/>
      <c r="L44" s="613"/>
      <c r="M44" s="613"/>
      <c r="N44" s="613"/>
      <c r="O44" s="613"/>
      <c r="P44" s="613"/>
      <c r="Q44" s="613"/>
    </row>
    <row r="45" spans="1:17" ht="15.75">
      <c r="A45" s="2100"/>
      <c r="B45" s="2097"/>
      <c r="C45" s="683">
        <v>2019</v>
      </c>
      <c r="D45" s="645"/>
      <c r="E45" s="644"/>
      <c r="F45" s="617"/>
      <c r="G45" s="643"/>
      <c r="H45" s="643"/>
      <c r="I45" s="613"/>
      <c r="J45" s="613"/>
      <c r="K45" s="613"/>
      <c r="L45" s="613"/>
      <c r="M45" s="613"/>
      <c r="N45" s="613"/>
      <c r="O45" s="613"/>
      <c r="P45" s="613"/>
      <c r="Q45" s="613"/>
    </row>
    <row r="46" spans="1:17" ht="15.75">
      <c r="A46" s="2100"/>
      <c r="B46" s="2097"/>
      <c r="C46" s="683">
        <v>2020</v>
      </c>
      <c r="D46" s="645"/>
      <c r="E46" s="644"/>
      <c r="F46" s="617"/>
      <c r="G46" s="643"/>
      <c r="H46" s="643"/>
      <c r="I46" s="613"/>
      <c r="J46" s="613"/>
      <c r="K46" s="613"/>
      <c r="L46" s="613"/>
      <c r="M46" s="613"/>
      <c r="N46" s="613"/>
      <c r="O46" s="613"/>
      <c r="P46" s="613"/>
      <c r="Q46" s="613"/>
    </row>
    <row r="47" spans="1:17" ht="16.5" thickBot="1">
      <c r="A47" s="2101"/>
      <c r="B47" s="2099"/>
      <c r="C47" s="650" t="s">
        <v>13</v>
      </c>
      <c r="D47" s="651">
        <f>SUM(D40:D46)</f>
        <v>277739</v>
      </c>
      <c r="E47" s="689">
        <f>SUM(E40:E46)</f>
        <v>207629</v>
      </c>
      <c r="F47" s="690"/>
      <c r="G47" s="643"/>
      <c r="H47" s="643"/>
      <c r="I47" s="613"/>
      <c r="J47" s="613"/>
      <c r="K47" s="613"/>
      <c r="L47" s="613"/>
      <c r="M47" s="613"/>
      <c r="N47" s="613"/>
      <c r="O47" s="613"/>
      <c r="P47" s="613"/>
      <c r="Q47" s="613"/>
    </row>
    <row r="48" spans="1:17" ht="16.5" thickBot="1">
      <c r="A48" s="691"/>
      <c r="B48" s="692"/>
      <c r="C48" s="693"/>
      <c r="D48" s="643"/>
      <c r="E48" s="643"/>
      <c r="F48" s="643"/>
      <c r="G48" s="643"/>
      <c r="H48" s="643"/>
      <c r="I48" s="643"/>
      <c r="J48" s="643"/>
      <c r="K48" s="643"/>
      <c r="L48" s="643"/>
      <c r="M48" s="643"/>
      <c r="N48" s="643"/>
      <c r="O48" s="643"/>
      <c r="P48" s="643"/>
      <c r="Q48" s="643"/>
    </row>
    <row r="49" spans="1:17" ht="75.75">
      <c r="A49" s="694" t="s">
        <v>32</v>
      </c>
      <c r="B49" s="677" t="s">
        <v>275</v>
      </c>
      <c r="C49" s="695" t="s">
        <v>9</v>
      </c>
      <c r="D49" s="679" t="s">
        <v>34</v>
      </c>
      <c r="E49" s="696" t="s">
        <v>35</v>
      </c>
      <c r="F49" s="696" t="s">
        <v>36</v>
      </c>
      <c r="G49" s="696" t="s">
        <v>37</v>
      </c>
      <c r="H49" s="696" t="s">
        <v>38</v>
      </c>
      <c r="I49" s="696" t="s">
        <v>39</v>
      </c>
      <c r="J49" s="696" t="s">
        <v>40</v>
      </c>
      <c r="K49" s="697" t="s">
        <v>41</v>
      </c>
      <c r="L49" s="613"/>
      <c r="M49" s="613"/>
      <c r="N49" s="613"/>
      <c r="O49" s="613"/>
      <c r="P49" s="613"/>
      <c r="Q49" s="613"/>
    </row>
    <row r="50" spans="1:17" ht="15.75">
      <c r="A50" s="2179"/>
      <c r="B50" s="2130"/>
      <c r="C50" s="682" t="s">
        <v>43</v>
      </c>
      <c r="D50" s="638"/>
      <c r="E50" s="639"/>
      <c r="F50" s="639"/>
      <c r="G50" s="639"/>
      <c r="H50" s="639"/>
      <c r="I50" s="639"/>
      <c r="J50" s="639"/>
      <c r="K50" s="642"/>
      <c r="L50" s="613"/>
      <c r="M50" s="613"/>
      <c r="N50" s="613"/>
      <c r="O50" s="613"/>
      <c r="P50" s="613"/>
      <c r="Q50" s="613"/>
    </row>
    <row r="51" spans="1:17" ht="15.75">
      <c r="A51" s="2100"/>
      <c r="B51" s="2132"/>
      <c r="C51" s="683">
        <v>2014</v>
      </c>
      <c r="D51" s="645"/>
      <c r="E51" s="646"/>
      <c r="F51" s="646"/>
      <c r="G51" s="646"/>
      <c r="H51" s="646"/>
      <c r="I51" s="646"/>
      <c r="J51" s="646"/>
      <c r="K51" s="698"/>
      <c r="L51" s="613"/>
      <c r="M51" s="613"/>
      <c r="N51" s="613"/>
      <c r="O51" s="613"/>
      <c r="P51" s="613"/>
      <c r="Q51" s="613"/>
    </row>
    <row r="52" spans="1:17" ht="15.75">
      <c r="A52" s="2100"/>
      <c r="B52" s="2132"/>
      <c r="C52" s="683">
        <v>2015</v>
      </c>
      <c r="D52" s="645"/>
      <c r="E52" s="646"/>
      <c r="F52" s="646"/>
      <c r="G52" s="646"/>
      <c r="H52" s="646"/>
      <c r="I52" s="646"/>
      <c r="J52" s="646"/>
      <c r="K52" s="698"/>
      <c r="L52" s="613"/>
      <c r="M52" s="613"/>
      <c r="N52" s="613"/>
      <c r="O52" s="613"/>
      <c r="P52" s="613"/>
      <c r="Q52" s="613"/>
    </row>
    <row r="53" spans="1:17" ht="15.75">
      <c r="A53" s="2100"/>
      <c r="B53" s="2132"/>
      <c r="C53" s="683">
        <v>2016</v>
      </c>
      <c r="D53" s="645">
        <v>1</v>
      </c>
      <c r="E53" s="646"/>
      <c r="F53" s="646"/>
      <c r="G53" s="699">
        <v>124</v>
      </c>
      <c r="H53" s="646"/>
      <c r="I53" s="646"/>
      <c r="J53" s="646"/>
      <c r="K53" s="698"/>
      <c r="L53" s="613"/>
      <c r="M53" s="613"/>
      <c r="N53" s="613"/>
      <c r="O53" s="613"/>
      <c r="P53" s="613"/>
      <c r="Q53" s="613"/>
    </row>
    <row r="54" spans="1:17" ht="15.75">
      <c r="A54" s="2100"/>
      <c r="B54" s="2132"/>
      <c r="C54" s="683">
        <v>2017</v>
      </c>
      <c r="D54" s="645">
        <v>1</v>
      </c>
      <c r="E54" s="646"/>
      <c r="F54" s="646"/>
      <c r="G54" s="646">
        <v>202</v>
      </c>
      <c r="H54" s="646"/>
      <c r="I54" s="646"/>
      <c r="J54" s="646">
        <v>36</v>
      </c>
      <c r="K54" s="698"/>
      <c r="L54" s="613"/>
      <c r="M54" s="613"/>
      <c r="N54" s="613"/>
      <c r="O54" s="613"/>
      <c r="P54" s="613"/>
      <c r="Q54" s="613"/>
    </row>
    <row r="55" spans="1:17" ht="15.75">
      <c r="A55" s="2100"/>
      <c r="B55" s="2132"/>
      <c r="C55" s="683">
        <v>2018</v>
      </c>
      <c r="D55" s="645"/>
      <c r="E55" s="646"/>
      <c r="F55" s="646"/>
      <c r="G55" s="646"/>
      <c r="H55" s="646"/>
      <c r="I55" s="646"/>
      <c r="J55" s="646"/>
      <c r="K55" s="698"/>
      <c r="L55" s="613"/>
      <c r="M55" s="613"/>
      <c r="N55" s="613"/>
      <c r="O55" s="613"/>
      <c r="P55" s="613"/>
      <c r="Q55" s="613"/>
    </row>
    <row r="56" spans="1:17" ht="15.75">
      <c r="A56" s="2100"/>
      <c r="B56" s="2132"/>
      <c r="C56" s="683">
        <v>2019</v>
      </c>
      <c r="D56" s="645"/>
      <c r="E56" s="646"/>
      <c r="F56" s="646"/>
      <c r="G56" s="646"/>
      <c r="H56" s="646"/>
      <c r="I56" s="646"/>
      <c r="J56" s="646"/>
      <c r="K56" s="698"/>
      <c r="L56" s="613"/>
      <c r="M56" s="613"/>
      <c r="N56" s="613"/>
      <c r="O56" s="613"/>
      <c r="P56" s="613"/>
      <c r="Q56" s="613"/>
    </row>
    <row r="57" spans="1:17" ht="15.75">
      <c r="A57" s="2100"/>
      <c r="B57" s="2132"/>
      <c r="C57" s="683">
        <v>2020</v>
      </c>
      <c r="D57" s="645"/>
      <c r="E57" s="646"/>
      <c r="F57" s="646"/>
      <c r="G57" s="646"/>
      <c r="H57" s="646"/>
      <c r="I57" s="646"/>
      <c r="J57" s="646"/>
      <c r="K57" s="700"/>
      <c r="L57" s="613"/>
      <c r="M57" s="613"/>
      <c r="N57" s="613"/>
      <c r="O57" s="613"/>
      <c r="P57" s="613"/>
      <c r="Q57" s="613"/>
    </row>
    <row r="58" spans="1:17" ht="16.5" thickBot="1">
      <c r="A58" s="2101"/>
      <c r="B58" s="2134"/>
      <c r="C58" s="650" t="s">
        <v>13</v>
      </c>
      <c r="D58" s="651">
        <f>SUM(D51:D57)</f>
        <v>2</v>
      </c>
      <c r="E58" s="652">
        <f>SUM(E51:E57)</f>
        <v>0</v>
      </c>
      <c r="F58" s="652">
        <f>SUM(F51:F57)</f>
        <v>0</v>
      </c>
      <c r="G58" s="652">
        <f>SUM(G51:G57)</f>
        <v>326</v>
      </c>
      <c r="H58" s="652">
        <f>SUM(H51:H57)</f>
        <v>0</v>
      </c>
      <c r="I58" s="652">
        <f t="shared" ref="I58" si="3">SUM(I51:I57)</f>
        <v>0</v>
      </c>
      <c r="J58" s="652">
        <f>SUM(J51:J57)</f>
        <v>36</v>
      </c>
      <c r="K58" s="656">
        <f>SUM(K50:K56)</f>
        <v>0</v>
      </c>
      <c r="L58" s="613"/>
      <c r="M58" s="613"/>
      <c r="N58" s="613"/>
      <c r="O58" s="613"/>
      <c r="P58" s="613"/>
      <c r="Q58" s="613"/>
    </row>
    <row r="59" spans="1:17" ht="16.5" thickBot="1">
      <c r="A59" s="612"/>
      <c r="B59" s="613"/>
      <c r="C59" s="613"/>
      <c r="D59" s="613"/>
      <c r="E59" s="613"/>
      <c r="F59" s="613"/>
      <c r="G59" s="613"/>
      <c r="H59" s="613"/>
      <c r="I59" s="613"/>
      <c r="J59" s="613"/>
      <c r="K59" s="613"/>
      <c r="L59" s="613"/>
      <c r="M59" s="613"/>
      <c r="N59" s="613"/>
      <c r="O59" s="613"/>
      <c r="P59" s="613"/>
      <c r="Q59" s="613"/>
    </row>
    <row r="60" spans="1:17" ht="15.75">
      <c r="A60" s="2180" t="s">
        <v>44</v>
      </c>
      <c r="B60" s="701"/>
      <c r="C60" s="2182" t="s">
        <v>9</v>
      </c>
      <c r="D60" s="2160" t="s">
        <v>45</v>
      </c>
      <c r="E60" s="702" t="s">
        <v>6</v>
      </c>
      <c r="F60" s="703"/>
      <c r="G60" s="703"/>
      <c r="H60" s="703"/>
      <c r="I60" s="703"/>
      <c r="J60" s="703"/>
      <c r="K60" s="703"/>
      <c r="L60" s="704"/>
      <c r="M60" s="613"/>
      <c r="N60" s="613"/>
      <c r="O60" s="613"/>
      <c r="P60" s="613"/>
      <c r="Q60" s="613"/>
    </row>
    <row r="61" spans="1:17" ht="120.75">
      <c r="A61" s="2181"/>
      <c r="B61" s="705" t="s">
        <v>275</v>
      </c>
      <c r="C61" s="2183"/>
      <c r="D61" s="2161"/>
      <c r="E61" s="706" t="s">
        <v>14</v>
      </c>
      <c r="F61" s="707" t="s">
        <v>15</v>
      </c>
      <c r="G61" s="707" t="s">
        <v>16</v>
      </c>
      <c r="H61" s="708" t="s">
        <v>17</v>
      </c>
      <c r="I61" s="708" t="s">
        <v>18</v>
      </c>
      <c r="J61" s="709" t="s">
        <v>19</v>
      </c>
      <c r="K61" s="707" t="s">
        <v>20</v>
      </c>
      <c r="L61" s="710" t="s">
        <v>21</v>
      </c>
      <c r="M61" s="711"/>
      <c r="N61" s="617"/>
      <c r="O61" s="617"/>
      <c r="P61" s="613"/>
      <c r="Q61" s="613"/>
    </row>
    <row r="62" spans="1:17" ht="15.75">
      <c r="A62" s="2111"/>
      <c r="B62" s="2112"/>
      <c r="C62" s="712">
        <v>2014</v>
      </c>
      <c r="D62" s="713"/>
      <c r="E62" s="714"/>
      <c r="F62" s="715"/>
      <c r="G62" s="715"/>
      <c r="H62" s="715"/>
      <c r="I62" s="715"/>
      <c r="J62" s="715"/>
      <c r="K62" s="715"/>
      <c r="L62" s="642"/>
      <c r="M62" s="617"/>
      <c r="N62" s="617"/>
      <c r="O62" s="617"/>
      <c r="P62" s="613"/>
      <c r="Q62" s="613"/>
    </row>
    <row r="63" spans="1:17" ht="15.75">
      <c r="A63" s="2111"/>
      <c r="B63" s="2112"/>
      <c r="C63" s="716">
        <v>2015</v>
      </c>
      <c r="D63" s="717"/>
      <c r="E63" s="718"/>
      <c r="F63" s="646"/>
      <c r="G63" s="646"/>
      <c r="H63" s="646"/>
      <c r="I63" s="646"/>
      <c r="J63" s="646"/>
      <c r="K63" s="646"/>
      <c r="L63" s="698"/>
      <c r="M63" s="617"/>
      <c r="N63" s="617"/>
      <c r="O63" s="617"/>
      <c r="P63" s="613"/>
      <c r="Q63" s="613"/>
    </row>
    <row r="64" spans="1:17" ht="15.75">
      <c r="A64" s="2111"/>
      <c r="B64" s="2112"/>
      <c r="C64" s="716">
        <v>2016</v>
      </c>
      <c r="D64" s="717">
        <v>13</v>
      </c>
      <c r="E64" s="718"/>
      <c r="F64" s="646">
        <v>13</v>
      </c>
      <c r="G64" s="646"/>
      <c r="H64" s="646"/>
      <c r="I64" s="646"/>
      <c r="J64" s="646"/>
      <c r="K64" s="646"/>
      <c r="L64" s="698"/>
      <c r="M64" s="617"/>
      <c r="N64" s="617"/>
      <c r="O64" s="617"/>
      <c r="P64" s="613"/>
      <c r="Q64" s="613"/>
    </row>
    <row r="65" spans="1:17" ht="15.75">
      <c r="A65" s="2111"/>
      <c r="B65" s="2112"/>
      <c r="C65" s="716">
        <v>2017</v>
      </c>
      <c r="D65" s="717">
        <v>3</v>
      </c>
      <c r="E65" s="718"/>
      <c r="F65" s="646">
        <v>3</v>
      </c>
      <c r="G65" s="646"/>
      <c r="H65" s="646"/>
      <c r="I65" s="646"/>
      <c r="J65" s="646"/>
      <c r="K65" s="646"/>
      <c r="L65" s="698"/>
      <c r="M65" s="617"/>
      <c r="N65" s="617"/>
      <c r="O65" s="617"/>
      <c r="P65" s="613"/>
      <c r="Q65" s="613"/>
    </row>
    <row r="66" spans="1:17" ht="15.75">
      <c r="A66" s="2111"/>
      <c r="B66" s="2112"/>
      <c r="C66" s="716">
        <v>2018</v>
      </c>
      <c r="D66" s="717"/>
      <c r="E66" s="718"/>
      <c r="F66" s="646"/>
      <c r="G66" s="646"/>
      <c r="H66" s="646"/>
      <c r="I66" s="646"/>
      <c r="J66" s="646"/>
      <c r="K66" s="646"/>
      <c r="L66" s="698"/>
      <c r="M66" s="617"/>
      <c r="N66" s="617"/>
      <c r="O66" s="617"/>
      <c r="P66" s="613"/>
      <c r="Q66" s="613"/>
    </row>
    <row r="67" spans="1:17" ht="15.75">
      <c r="A67" s="2111"/>
      <c r="B67" s="2112"/>
      <c r="C67" s="716">
        <v>2019</v>
      </c>
      <c r="D67" s="717"/>
      <c r="E67" s="718"/>
      <c r="F67" s="646"/>
      <c r="G67" s="646"/>
      <c r="H67" s="646"/>
      <c r="I67" s="646"/>
      <c r="J67" s="646"/>
      <c r="K67" s="646"/>
      <c r="L67" s="698"/>
      <c r="M67" s="617"/>
      <c r="N67" s="617"/>
      <c r="O67" s="617"/>
      <c r="P67" s="613"/>
      <c r="Q67" s="613"/>
    </row>
    <row r="68" spans="1:17" ht="15.75">
      <c r="A68" s="2111"/>
      <c r="B68" s="2112"/>
      <c r="C68" s="716">
        <v>2020</v>
      </c>
      <c r="D68" s="717"/>
      <c r="E68" s="718"/>
      <c r="F68" s="646"/>
      <c r="G68" s="646"/>
      <c r="H68" s="646"/>
      <c r="I68" s="646"/>
      <c r="J68" s="646"/>
      <c r="K68" s="646"/>
      <c r="L68" s="698"/>
      <c r="M68" s="690"/>
      <c r="N68" s="690"/>
      <c r="O68" s="690"/>
      <c r="P68" s="613"/>
      <c r="Q68" s="613"/>
    </row>
    <row r="69" spans="1:17" ht="16.5" thickBot="1">
      <c r="A69" s="2144"/>
      <c r="B69" s="2114"/>
      <c r="C69" s="719" t="s">
        <v>13</v>
      </c>
      <c r="D69" s="720">
        <f>SUM(D62:D68)</f>
        <v>16</v>
      </c>
      <c r="E69" s="721">
        <f>SUM(E62:E68)</f>
        <v>0</v>
      </c>
      <c r="F69" s="722">
        <f t="shared" ref="F69:I69" si="4">SUM(F62:F68)</f>
        <v>16</v>
      </c>
      <c r="G69" s="722">
        <f t="shared" si="4"/>
        <v>0</v>
      </c>
      <c r="H69" s="722">
        <f t="shared" si="4"/>
        <v>0</v>
      </c>
      <c r="I69" s="722">
        <f t="shared" si="4"/>
        <v>0</v>
      </c>
      <c r="J69" s="722"/>
      <c r="K69" s="722">
        <f>SUM(K62:K68)</f>
        <v>0</v>
      </c>
      <c r="L69" s="723">
        <f>SUM(L62:L68)</f>
        <v>0</v>
      </c>
      <c r="M69" s="690"/>
      <c r="N69" s="690"/>
      <c r="O69" s="690"/>
      <c r="P69" s="613"/>
      <c r="Q69" s="613"/>
    </row>
    <row r="70" spans="1:17" ht="16.5" thickBot="1">
      <c r="A70" s="724"/>
      <c r="B70" s="725"/>
      <c r="C70" s="726"/>
      <c r="D70" s="727"/>
      <c r="E70" s="727"/>
      <c r="F70" s="727"/>
      <c r="G70" s="727"/>
      <c r="H70" s="726"/>
      <c r="I70" s="728"/>
      <c r="J70" s="728"/>
      <c r="K70" s="728"/>
      <c r="L70" s="728"/>
      <c r="M70" s="728"/>
      <c r="N70" s="728"/>
      <c r="O70" s="728"/>
      <c r="P70" s="729"/>
      <c r="Q70" s="729"/>
    </row>
    <row r="71" spans="1:17" ht="120.75">
      <c r="A71" s="730" t="s">
        <v>47</v>
      </c>
      <c r="B71" s="677" t="s">
        <v>275</v>
      </c>
      <c r="C71" s="678" t="s">
        <v>9</v>
      </c>
      <c r="D71" s="731" t="s">
        <v>49</v>
      </c>
      <c r="E71" s="731" t="s">
        <v>50</v>
      </c>
      <c r="F71" s="732" t="s">
        <v>278</v>
      </c>
      <c r="G71" s="733" t="s">
        <v>52</v>
      </c>
      <c r="H71" s="734" t="s">
        <v>14</v>
      </c>
      <c r="I71" s="735" t="s">
        <v>15</v>
      </c>
      <c r="J71" s="736" t="s">
        <v>16</v>
      </c>
      <c r="K71" s="735" t="s">
        <v>17</v>
      </c>
      <c r="L71" s="735" t="s">
        <v>18</v>
      </c>
      <c r="M71" s="737" t="s">
        <v>19</v>
      </c>
      <c r="N71" s="736" t="s">
        <v>20</v>
      </c>
      <c r="O71" s="738" t="s">
        <v>21</v>
      </c>
      <c r="P71" s="613"/>
      <c r="Q71" s="613"/>
    </row>
    <row r="72" spans="1:17" ht="15.75">
      <c r="A72" s="2100"/>
      <c r="B72" s="2112"/>
      <c r="C72" s="682">
        <v>2014</v>
      </c>
      <c r="D72" s="739"/>
      <c r="E72" s="739"/>
      <c r="F72" s="739"/>
      <c r="G72" s="740">
        <f>SUM(D72:F72)</f>
        <v>0</v>
      </c>
      <c r="H72" s="638"/>
      <c r="I72" s="741"/>
      <c r="J72" s="715"/>
      <c r="K72" s="715"/>
      <c r="L72" s="715"/>
      <c r="M72" s="715"/>
      <c r="N72" s="715"/>
      <c r="O72" s="742"/>
      <c r="P72" s="613"/>
      <c r="Q72" s="613"/>
    </row>
    <row r="73" spans="1:17" ht="15.75">
      <c r="A73" s="2100"/>
      <c r="B73" s="2112"/>
      <c r="C73" s="683">
        <v>2015</v>
      </c>
      <c r="D73" s="743">
        <v>6</v>
      </c>
      <c r="E73" s="743"/>
      <c r="F73" s="743"/>
      <c r="G73" s="740">
        <f t="shared" ref="G73:G78" si="5">SUM(D73:F73)</f>
        <v>6</v>
      </c>
      <c r="H73" s="645"/>
      <c r="I73" s="645">
        <v>6</v>
      </c>
      <c r="J73" s="646"/>
      <c r="K73" s="646"/>
      <c r="L73" s="646"/>
      <c r="M73" s="646"/>
      <c r="N73" s="646"/>
      <c r="O73" s="698"/>
      <c r="P73" s="613"/>
      <c r="Q73" s="613"/>
    </row>
    <row r="74" spans="1:17" ht="15.75">
      <c r="A74" s="2100"/>
      <c r="B74" s="2112"/>
      <c r="C74" s="683">
        <v>2016</v>
      </c>
      <c r="D74" s="744">
        <v>26</v>
      </c>
      <c r="E74" s="743"/>
      <c r="F74" s="743"/>
      <c r="G74" s="740">
        <f t="shared" si="5"/>
        <v>26</v>
      </c>
      <c r="H74" s="645"/>
      <c r="I74" s="745">
        <v>26</v>
      </c>
      <c r="J74" s="646"/>
      <c r="K74" s="646"/>
      <c r="L74" s="646"/>
      <c r="M74" s="646"/>
      <c r="N74" s="646"/>
      <c r="O74" s="698"/>
      <c r="P74" s="613"/>
      <c r="Q74" s="613"/>
    </row>
    <row r="75" spans="1:17" ht="15.75">
      <c r="A75" s="2100"/>
      <c r="B75" s="2112"/>
      <c r="C75" s="683">
        <v>2017</v>
      </c>
      <c r="D75" s="743">
        <v>23</v>
      </c>
      <c r="E75" s="743"/>
      <c r="F75" s="743"/>
      <c r="G75" s="740">
        <f t="shared" si="5"/>
        <v>23</v>
      </c>
      <c r="H75" s="645"/>
      <c r="I75" s="645">
        <v>23</v>
      </c>
      <c r="J75" s="646"/>
      <c r="K75" s="646"/>
      <c r="L75" s="646"/>
      <c r="M75" s="646"/>
      <c r="N75" s="646"/>
      <c r="O75" s="698"/>
      <c r="P75" s="613"/>
      <c r="Q75" s="613"/>
    </row>
    <row r="76" spans="1:17" ht="15.75">
      <c r="A76" s="2100"/>
      <c r="B76" s="2112"/>
      <c r="C76" s="683">
        <v>2018</v>
      </c>
      <c r="D76" s="743"/>
      <c r="E76" s="743"/>
      <c r="F76" s="743"/>
      <c r="G76" s="740">
        <f t="shared" si="5"/>
        <v>0</v>
      </c>
      <c r="H76" s="645"/>
      <c r="I76" s="645"/>
      <c r="J76" s="646"/>
      <c r="K76" s="646"/>
      <c r="L76" s="646"/>
      <c r="M76" s="646"/>
      <c r="N76" s="646"/>
      <c r="O76" s="698"/>
      <c r="P76" s="613"/>
      <c r="Q76" s="613"/>
    </row>
    <row r="77" spans="1:17" ht="15.75">
      <c r="A77" s="2100"/>
      <c r="B77" s="2112"/>
      <c r="C77" s="683">
        <v>2019</v>
      </c>
      <c r="D77" s="743"/>
      <c r="E77" s="743"/>
      <c r="F77" s="743"/>
      <c r="G77" s="740">
        <f t="shared" si="5"/>
        <v>0</v>
      </c>
      <c r="H77" s="645"/>
      <c r="I77" s="645"/>
      <c r="J77" s="646"/>
      <c r="K77" s="646"/>
      <c r="L77" s="646"/>
      <c r="M77" s="646"/>
      <c r="N77" s="646"/>
      <c r="O77" s="698"/>
      <c r="P77" s="613"/>
      <c r="Q77" s="613"/>
    </row>
    <row r="78" spans="1:17" ht="15.75">
      <c r="A78" s="2100"/>
      <c r="B78" s="2112"/>
      <c r="C78" s="683">
        <v>2020</v>
      </c>
      <c r="D78" s="743"/>
      <c r="E78" s="743"/>
      <c r="F78" s="743"/>
      <c r="G78" s="740">
        <f t="shared" si="5"/>
        <v>0</v>
      </c>
      <c r="H78" s="645"/>
      <c r="I78" s="645"/>
      <c r="J78" s="646"/>
      <c r="K78" s="646"/>
      <c r="L78" s="646"/>
      <c r="M78" s="646"/>
      <c r="N78" s="646"/>
      <c r="O78" s="698"/>
      <c r="P78" s="613"/>
      <c r="Q78" s="613"/>
    </row>
    <row r="79" spans="1:17" ht="16.5" thickBot="1">
      <c r="A79" s="2144"/>
      <c r="B79" s="2114"/>
      <c r="C79" s="746" t="s">
        <v>13</v>
      </c>
      <c r="D79" s="720">
        <f>SUM(D72:D78)</f>
        <v>55</v>
      </c>
      <c r="E79" s="720">
        <f>SUM(E72:E78)</f>
        <v>0</v>
      </c>
      <c r="F79" s="720">
        <f>SUM(F72:F78)</f>
        <v>0</v>
      </c>
      <c r="G79" s="747">
        <f>SUM(G72:G78)</f>
        <v>55</v>
      </c>
      <c r="H79" s="748">
        <v>0</v>
      </c>
      <c r="I79" s="749">
        <f t="shared" ref="I79:O79" si="6">SUM(I72:I78)</f>
        <v>55</v>
      </c>
      <c r="J79" s="722">
        <f t="shared" si="6"/>
        <v>0</v>
      </c>
      <c r="K79" s="722">
        <f t="shared" si="6"/>
        <v>0</v>
      </c>
      <c r="L79" s="722">
        <f t="shared" si="6"/>
        <v>0</v>
      </c>
      <c r="M79" s="722">
        <f t="shared" si="6"/>
        <v>0</v>
      </c>
      <c r="N79" s="722">
        <f t="shared" si="6"/>
        <v>0</v>
      </c>
      <c r="O79" s="723">
        <f t="shared" si="6"/>
        <v>0</v>
      </c>
      <c r="P79" s="613"/>
      <c r="Q79" s="613"/>
    </row>
    <row r="80" spans="1:17" ht="15.75">
      <c r="A80" s="612"/>
      <c r="B80" s="613"/>
      <c r="C80" s="613"/>
      <c r="D80" s="613"/>
      <c r="E80" s="613"/>
      <c r="F80" s="613"/>
      <c r="G80" s="613"/>
      <c r="H80" s="613"/>
      <c r="I80" s="613"/>
      <c r="J80" s="613"/>
      <c r="K80" s="613"/>
      <c r="L80" s="613"/>
      <c r="M80" s="613"/>
      <c r="N80" s="613"/>
      <c r="O80" s="613"/>
      <c r="P80" s="613"/>
      <c r="Q80" s="613"/>
    </row>
    <row r="81" spans="1:17" ht="15.75">
      <c r="A81" s="750"/>
      <c r="B81" s="725"/>
      <c r="C81" s="751"/>
      <c r="D81" s="752"/>
      <c r="E81" s="690"/>
      <c r="F81" s="690"/>
      <c r="G81" s="690"/>
      <c r="H81" s="690"/>
      <c r="I81" s="690"/>
      <c r="J81" s="690"/>
      <c r="K81" s="690"/>
      <c r="L81" s="613"/>
      <c r="M81" s="613"/>
      <c r="N81" s="613"/>
      <c r="O81" s="613"/>
      <c r="P81" s="613"/>
      <c r="Q81" s="613"/>
    </row>
    <row r="82" spans="1:17" ht="15.75">
      <c r="A82" s="753" t="s">
        <v>55</v>
      </c>
      <c r="B82" s="754"/>
      <c r="C82" s="755"/>
      <c r="D82" s="755"/>
      <c r="E82" s="755"/>
      <c r="F82" s="755"/>
      <c r="G82" s="755"/>
      <c r="H82" s="755"/>
      <c r="I82" s="755"/>
      <c r="J82" s="755"/>
      <c r="K82" s="755"/>
      <c r="L82" s="756"/>
      <c r="M82" s="613"/>
      <c r="N82" s="613"/>
      <c r="O82" s="613"/>
      <c r="P82" s="613"/>
      <c r="Q82" s="613"/>
    </row>
    <row r="83" spans="1:17" ht="16.5" thickBot="1">
      <c r="A83" s="607"/>
      <c r="B83" s="608"/>
      <c r="C83" s="613"/>
      <c r="D83" s="613"/>
      <c r="E83" s="613"/>
      <c r="F83" s="613"/>
      <c r="G83" s="613"/>
      <c r="H83" s="613"/>
      <c r="I83" s="613"/>
      <c r="J83" s="613"/>
      <c r="K83" s="613"/>
      <c r="L83" s="613"/>
      <c r="M83" s="613"/>
      <c r="N83" s="613"/>
      <c r="O83" s="613"/>
      <c r="P83" s="613"/>
      <c r="Q83" s="613"/>
    </row>
    <row r="84" spans="1:17" ht="105.75">
      <c r="A84" s="757" t="s">
        <v>56</v>
      </c>
      <c r="B84" s="758" t="s">
        <v>279</v>
      </c>
      <c r="C84" s="759" t="s">
        <v>9</v>
      </c>
      <c r="D84" s="760" t="s">
        <v>58</v>
      </c>
      <c r="E84" s="761" t="s">
        <v>59</v>
      </c>
      <c r="F84" s="762" t="s">
        <v>60</v>
      </c>
      <c r="G84" s="762" t="s">
        <v>61</v>
      </c>
      <c r="H84" s="762" t="s">
        <v>62</v>
      </c>
      <c r="I84" s="762" t="s">
        <v>63</v>
      </c>
      <c r="J84" s="762" t="s">
        <v>64</v>
      </c>
      <c r="K84" s="763" t="s">
        <v>65</v>
      </c>
      <c r="L84" s="729"/>
      <c r="M84" s="729"/>
      <c r="N84" s="729"/>
      <c r="O84" s="729"/>
      <c r="P84" s="729"/>
      <c r="Q84" s="729"/>
    </row>
    <row r="85" spans="1:17" ht="15.75">
      <c r="A85" s="2157"/>
      <c r="B85" s="2112"/>
      <c r="C85" s="682">
        <v>2014</v>
      </c>
      <c r="D85" s="764"/>
      <c r="E85" s="765"/>
      <c r="F85" s="639"/>
      <c r="G85" s="639"/>
      <c r="H85" s="639"/>
      <c r="I85" s="639"/>
      <c r="J85" s="639"/>
      <c r="K85" s="642"/>
      <c r="L85" s="613"/>
      <c r="M85" s="613"/>
      <c r="N85" s="613"/>
      <c r="O85" s="613"/>
      <c r="P85" s="613"/>
      <c r="Q85" s="613"/>
    </row>
    <row r="86" spans="1:17" ht="15.75">
      <c r="A86" s="2158"/>
      <c r="B86" s="2112"/>
      <c r="C86" s="683">
        <v>2015</v>
      </c>
      <c r="D86" s="766"/>
      <c r="E86" s="718"/>
      <c r="F86" s="646"/>
      <c r="G86" s="646"/>
      <c r="H86" s="646"/>
      <c r="I86" s="646"/>
      <c r="J86" s="646"/>
      <c r="K86" s="698"/>
      <c r="L86" s="613"/>
      <c r="M86" s="613"/>
      <c r="N86" s="613"/>
      <c r="O86" s="613"/>
      <c r="P86" s="613"/>
      <c r="Q86" s="613"/>
    </row>
    <row r="87" spans="1:17" ht="15.75">
      <c r="A87" s="2158"/>
      <c r="B87" s="2112"/>
      <c r="C87" s="683">
        <v>2016</v>
      </c>
      <c r="D87" s="766"/>
      <c r="E87" s="718"/>
      <c r="F87" s="646"/>
      <c r="G87" s="646"/>
      <c r="H87" s="646"/>
      <c r="I87" s="646"/>
      <c r="J87" s="646"/>
      <c r="K87" s="698"/>
      <c r="L87" s="613"/>
      <c r="M87" s="613"/>
      <c r="N87" s="613"/>
      <c r="O87" s="613"/>
      <c r="P87" s="613"/>
      <c r="Q87" s="613"/>
    </row>
    <row r="88" spans="1:17" ht="15.75">
      <c r="A88" s="2158"/>
      <c r="B88" s="2112"/>
      <c r="C88" s="683">
        <v>2017</v>
      </c>
      <c r="D88" s="766"/>
      <c r="E88" s="718"/>
      <c r="F88" s="646"/>
      <c r="G88" s="646"/>
      <c r="H88" s="646"/>
      <c r="I88" s="646"/>
      <c r="J88" s="646"/>
      <c r="K88" s="698"/>
      <c r="L88" s="613"/>
      <c r="M88" s="613"/>
      <c r="N88" s="613"/>
      <c r="O88" s="613"/>
      <c r="P88" s="613"/>
      <c r="Q88" s="613"/>
    </row>
    <row r="89" spans="1:17" ht="15.75">
      <c r="A89" s="2158"/>
      <c r="B89" s="2112"/>
      <c r="C89" s="683">
        <v>2018</v>
      </c>
      <c r="D89" s="766"/>
      <c r="E89" s="718"/>
      <c r="F89" s="646"/>
      <c r="G89" s="646"/>
      <c r="H89" s="646"/>
      <c r="I89" s="646"/>
      <c r="J89" s="646"/>
      <c r="K89" s="698"/>
      <c r="L89" s="613"/>
      <c r="M89" s="613"/>
      <c r="N89" s="613"/>
      <c r="O89" s="613"/>
      <c r="P89" s="613"/>
      <c r="Q89" s="613"/>
    </row>
    <row r="90" spans="1:17" ht="15.75">
      <c r="A90" s="2158"/>
      <c r="B90" s="2112"/>
      <c r="C90" s="683">
        <v>2019</v>
      </c>
      <c r="D90" s="766"/>
      <c r="E90" s="718"/>
      <c r="F90" s="646"/>
      <c r="G90" s="646"/>
      <c r="H90" s="646"/>
      <c r="I90" s="646"/>
      <c r="J90" s="646"/>
      <c r="K90" s="698"/>
      <c r="L90" s="613"/>
      <c r="M90" s="613"/>
      <c r="N90" s="613"/>
      <c r="O90" s="613"/>
      <c r="P90" s="613"/>
      <c r="Q90" s="613"/>
    </row>
    <row r="91" spans="1:17" ht="15.75">
      <c r="A91" s="2158"/>
      <c r="B91" s="2112"/>
      <c r="C91" s="683">
        <v>2020</v>
      </c>
      <c r="D91" s="766"/>
      <c r="E91" s="718"/>
      <c r="F91" s="646"/>
      <c r="G91" s="646"/>
      <c r="H91" s="646"/>
      <c r="I91" s="646"/>
      <c r="J91" s="646"/>
      <c r="K91" s="698"/>
      <c r="L91" s="613"/>
      <c r="M91" s="613"/>
      <c r="N91" s="613"/>
      <c r="O91" s="613"/>
      <c r="P91" s="613"/>
      <c r="Q91" s="613"/>
    </row>
    <row r="92" spans="1:17" ht="16.5" thickBot="1">
      <c r="A92" s="2159"/>
      <c r="B92" s="2114"/>
      <c r="C92" s="746" t="s">
        <v>13</v>
      </c>
      <c r="D92" s="767">
        <f t="shared" ref="D92:I92" si="7">SUM(D85:D91)</f>
        <v>0</v>
      </c>
      <c r="E92" s="721">
        <f t="shared" si="7"/>
        <v>0</v>
      </c>
      <c r="F92" s="722">
        <f t="shared" si="7"/>
        <v>0</v>
      </c>
      <c r="G92" s="722">
        <f t="shared" si="7"/>
        <v>0</v>
      </c>
      <c r="H92" s="722">
        <f t="shared" si="7"/>
        <v>0</v>
      </c>
      <c r="I92" s="722">
        <f t="shared" si="7"/>
        <v>0</v>
      </c>
      <c r="J92" s="722">
        <f>SUM(J85:J91)</f>
        <v>0</v>
      </c>
      <c r="K92" s="723">
        <f>SUM(K85:K91)</f>
        <v>0</v>
      </c>
      <c r="L92" s="613"/>
      <c r="M92" s="613"/>
      <c r="N92" s="613"/>
      <c r="O92" s="613"/>
      <c r="P92" s="613"/>
      <c r="Q92" s="613"/>
    </row>
    <row r="93" spans="1:17" ht="15.75">
      <c r="A93" s="612"/>
      <c r="B93" s="613"/>
      <c r="C93" s="613"/>
      <c r="D93" s="613"/>
      <c r="E93" s="613"/>
      <c r="F93" s="613"/>
      <c r="G93" s="613"/>
      <c r="H93" s="613"/>
      <c r="I93" s="613"/>
      <c r="J93" s="613"/>
      <c r="K93" s="613"/>
      <c r="L93" s="613"/>
      <c r="M93" s="613"/>
      <c r="N93" s="613"/>
      <c r="O93" s="613"/>
      <c r="P93" s="613"/>
      <c r="Q93" s="613"/>
    </row>
    <row r="94" spans="1:17" ht="15.75">
      <c r="A94" s="768" t="s">
        <v>67</v>
      </c>
      <c r="B94" s="769"/>
      <c r="C94" s="770"/>
      <c r="D94" s="770"/>
      <c r="E94" s="770"/>
      <c r="F94" s="770"/>
      <c r="G94" s="770"/>
      <c r="H94" s="770"/>
      <c r="I94" s="770"/>
      <c r="J94" s="770"/>
      <c r="K94" s="770"/>
      <c r="L94" s="770"/>
      <c r="M94" s="770"/>
      <c r="N94" s="771"/>
      <c r="O94" s="771"/>
      <c r="P94" s="771"/>
      <c r="Q94" s="613"/>
    </row>
    <row r="95" spans="1:17" ht="16.5" thickBot="1">
      <c r="A95" s="772"/>
      <c r="B95" s="773"/>
      <c r="C95" s="675"/>
      <c r="D95" s="675"/>
      <c r="E95" s="675"/>
      <c r="F95" s="675"/>
      <c r="G95" s="675"/>
      <c r="H95" s="675"/>
      <c r="I95" s="675"/>
      <c r="J95" s="675"/>
      <c r="K95" s="675"/>
      <c r="L95" s="675"/>
      <c r="M95" s="675"/>
      <c r="N95" s="675"/>
      <c r="O95" s="675"/>
      <c r="P95" s="675"/>
      <c r="Q95" s="675"/>
    </row>
    <row r="96" spans="1:17" ht="15.75">
      <c r="A96" s="2145" t="s">
        <v>68</v>
      </c>
      <c r="B96" s="2147" t="s">
        <v>275</v>
      </c>
      <c r="C96" s="2149" t="s">
        <v>9</v>
      </c>
      <c r="D96" s="2155" t="s">
        <v>70</v>
      </c>
      <c r="E96" s="2156"/>
      <c r="F96" s="774" t="s">
        <v>71</v>
      </c>
      <c r="G96" s="775"/>
      <c r="H96" s="775"/>
      <c r="I96" s="775"/>
      <c r="J96" s="775"/>
      <c r="K96" s="775"/>
      <c r="L96" s="775"/>
      <c r="M96" s="776"/>
      <c r="N96" s="690"/>
      <c r="O96" s="690"/>
      <c r="P96" s="690"/>
      <c r="Q96" s="613"/>
    </row>
    <row r="97" spans="1:17" ht="120.75">
      <c r="A97" s="2146"/>
      <c r="B97" s="2148"/>
      <c r="C97" s="2150"/>
      <c r="D97" s="777" t="s">
        <v>72</v>
      </c>
      <c r="E97" s="778" t="s">
        <v>73</v>
      </c>
      <c r="F97" s="779" t="s">
        <v>14</v>
      </c>
      <c r="G97" s="780" t="s">
        <v>74</v>
      </c>
      <c r="H97" s="780" t="s">
        <v>61</v>
      </c>
      <c r="I97" s="781" t="s">
        <v>62</v>
      </c>
      <c r="J97" s="781" t="s">
        <v>63</v>
      </c>
      <c r="K97" s="782" t="s">
        <v>75</v>
      </c>
      <c r="L97" s="780" t="s">
        <v>64</v>
      </c>
      <c r="M97" s="783" t="s">
        <v>65</v>
      </c>
      <c r="N97" s="690"/>
      <c r="O97" s="690"/>
      <c r="P97" s="690"/>
      <c r="Q97" s="613"/>
    </row>
    <row r="98" spans="1:17" ht="15.75">
      <c r="A98" s="2111" t="s">
        <v>280</v>
      </c>
      <c r="B98" s="2112"/>
      <c r="C98" s="712">
        <v>2014</v>
      </c>
      <c r="D98" s="638"/>
      <c r="E98" s="639"/>
      <c r="F98" s="765"/>
      <c r="G98" s="639"/>
      <c r="H98" s="639"/>
      <c r="I98" s="639"/>
      <c r="J98" s="639"/>
      <c r="K98" s="639"/>
      <c r="L98" s="639"/>
      <c r="M98" s="642"/>
      <c r="N98" s="690"/>
      <c r="O98" s="690"/>
      <c r="P98" s="690"/>
      <c r="Q98" s="613"/>
    </row>
    <row r="99" spans="1:17" ht="15.75">
      <c r="A99" s="2111"/>
      <c r="B99" s="2112"/>
      <c r="C99" s="716">
        <v>2015</v>
      </c>
      <c r="D99" s="645">
        <v>1</v>
      </c>
      <c r="E99" s="646">
        <v>1</v>
      </c>
      <c r="F99" s="718"/>
      <c r="G99" s="646"/>
      <c r="H99" s="646"/>
      <c r="I99" s="646"/>
      <c r="J99" s="646"/>
      <c r="K99" s="646"/>
      <c r="L99" s="646"/>
      <c r="M99" s="698">
        <v>1</v>
      </c>
      <c r="N99" s="690"/>
      <c r="O99" s="690"/>
      <c r="P99" s="690"/>
      <c r="Q99" s="613"/>
    </row>
    <row r="100" spans="1:17" ht="15.75">
      <c r="A100" s="2111"/>
      <c r="B100" s="2112"/>
      <c r="C100" s="716">
        <v>2016</v>
      </c>
      <c r="D100" s="645">
        <v>1</v>
      </c>
      <c r="E100" s="646">
        <v>7</v>
      </c>
      <c r="F100" s="718"/>
      <c r="G100" s="646"/>
      <c r="H100" s="646"/>
      <c r="I100" s="646"/>
      <c r="J100" s="646"/>
      <c r="K100" s="646"/>
      <c r="L100" s="646"/>
      <c r="M100" s="698">
        <v>1</v>
      </c>
      <c r="N100" s="690"/>
      <c r="O100" s="690"/>
      <c r="P100" s="690"/>
      <c r="Q100" s="613"/>
    </row>
    <row r="101" spans="1:17" ht="15.75">
      <c r="A101" s="2111"/>
      <c r="B101" s="2112"/>
      <c r="C101" s="716">
        <v>2017</v>
      </c>
      <c r="D101" s="645">
        <v>1</v>
      </c>
      <c r="E101" s="646">
        <v>8</v>
      </c>
      <c r="F101" s="718"/>
      <c r="G101" s="646"/>
      <c r="H101" s="646"/>
      <c r="I101" s="646"/>
      <c r="J101" s="646"/>
      <c r="K101" s="646"/>
      <c r="L101" s="646"/>
      <c r="M101" s="698">
        <v>1</v>
      </c>
      <c r="N101" s="690"/>
      <c r="O101" s="690"/>
      <c r="P101" s="690"/>
      <c r="Q101" s="613"/>
    </row>
    <row r="102" spans="1:17" ht="15.75">
      <c r="A102" s="2111"/>
      <c r="B102" s="2112"/>
      <c r="C102" s="716">
        <v>2018</v>
      </c>
      <c r="D102" s="645"/>
      <c r="E102" s="646"/>
      <c r="F102" s="718"/>
      <c r="G102" s="646"/>
      <c r="H102" s="646"/>
      <c r="I102" s="646"/>
      <c r="J102" s="646"/>
      <c r="K102" s="646"/>
      <c r="L102" s="646"/>
      <c r="M102" s="698"/>
      <c r="N102" s="690"/>
      <c r="O102" s="690"/>
      <c r="P102" s="690"/>
      <c r="Q102" s="613"/>
    </row>
    <row r="103" spans="1:17" ht="15.75">
      <c r="A103" s="2111"/>
      <c r="B103" s="2112"/>
      <c r="C103" s="716">
        <v>2019</v>
      </c>
      <c r="D103" s="645"/>
      <c r="E103" s="646"/>
      <c r="F103" s="718"/>
      <c r="G103" s="646"/>
      <c r="H103" s="646"/>
      <c r="I103" s="646"/>
      <c r="J103" s="646"/>
      <c r="K103" s="646"/>
      <c r="L103" s="646"/>
      <c r="M103" s="698"/>
      <c r="N103" s="690"/>
      <c r="O103" s="690"/>
      <c r="P103" s="690"/>
      <c r="Q103" s="613"/>
    </row>
    <row r="104" spans="1:17" ht="15.75">
      <c r="A104" s="2111"/>
      <c r="B104" s="2112"/>
      <c r="C104" s="716">
        <v>2020</v>
      </c>
      <c r="D104" s="645"/>
      <c r="E104" s="646"/>
      <c r="F104" s="718"/>
      <c r="G104" s="646"/>
      <c r="H104" s="646"/>
      <c r="I104" s="646"/>
      <c r="J104" s="646"/>
      <c r="K104" s="646"/>
      <c r="L104" s="646"/>
      <c r="M104" s="698"/>
      <c r="N104" s="690"/>
      <c r="O104" s="690"/>
      <c r="P104" s="690"/>
      <c r="Q104" s="613"/>
    </row>
    <row r="105" spans="1:17" ht="16.5" thickBot="1">
      <c r="A105" s="2144"/>
      <c r="B105" s="2114"/>
      <c r="C105" s="719" t="s">
        <v>13</v>
      </c>
      <c r="D105" s="749">
        <f>SUM(D98:D104)</f>
        <v>3</v>
      </c>
      <c r="E105" s="722">
        <f t="shared" ref="E105:K105" si="8">SUM(E98:E104)</f>
        <v>16</v>
      </c>
      <c r="F105" s="721">
        <f t="shared" si="8"/>
        <v>0</v>
      </c>
      <c r="G105" s="722">
        <f t="shared" si="8"/>
        <v>0</v>
      </c>
      <c r="H105" s="722">
        <f t="shared" si="8"/>
        <v>0</v>
      </c>
      <c r="I105" s="722">
        <f>SUM(I98:I104)</f>
        <v>0</v>
      </c>
      <c r="J105" s="722">
        <f t="shared" si="8"/>
        <v>0</v>
      </c>
      <c r="K105" s="722">
        <f t="shared" si="8"/>
        <v>0</v>
      </c>
      <c r="L105" s="722">
        <f>SUM(L98:L104)</f>
        <v>0</v>
      </c>
      <c r="M105" s="723">
        <f>SUM(M98:M104)</f>
        <v>3</v>
      </c>
      <c r="N105" s="690"/>
      <c r="O105" s="690"/>
      <c r="P105" s="690"/>
      <c r="Q105" s="613"/>
    </row>
    <row r="106" spans="1:17" ht="16.5" thickBot="1">
      <c r="A106" s="784"/>
      <c r="B106" s="785"/>
      <c r="C106" s="786"/>
      <c r="D106" s="617"/>
      <c r="E106" s="617"/>
      <c r="F106" s="613"/>
      <c r="G106" s="613"/>
      <c r="H106" s="617"/>
      <c r="I106" s="617"/>
      <c r="J106" s="617"/>
      <c r="K106" s="617"/>
      <c r="L106" s="617"/>
      <c r="M106" s="617"/>
      <c r="N106" s="617"/>
      <c r="O106" s="613"/>
      <c r="P106" s="613"/>
      <c r="Q106" s="613"/>
    </row>
    <row r="107" spans="1:17" ht="15.75">
      <c r="A107" s="2145" t="s">
        <v>77</v>
      </c>
      <c r="B107" s="2147" t="s">
        <v>275</v>
      </c>
      <c r="C107" s="2149" t="s">
        <v>9</v>
      </c>
      <c r="D107" s="2151" t="s">
        <v>78</v>
      </c>
      <c r="E107" s="774" t="s">
        <v>79</v>
      </c>
      <c r="F107" s="775"/>
      <c r="G107" s="775"/>
      <c r="H107" s="775"/>
      <c r="I107" s="775"/>
      <c r="J107" s="775"/>
      <c r="K107" s="775"/>
      <c r="L107" s="776"/>
      <c r="M107" s="617"/>
      <c r="N107" s="617"/>
      <c r="O107" s="613"/>
      <c r="P107" s="613"/>
      <c r="Q107" s="613"/>
    </row>
    <row r="108" spans="1:17" ht="120.75">
      <c r="A108" s="2146"/>
      <c r="B108" s="2148"/>
      <c r="C108" s="2150"/>
      <c r="D108" s="2152"/>
      <c r="E108" s="779" t="s">
        <v>14</v>
      </c>
      <c r="F108" s="780" t="s">
        <v>74</v>
      </c>
      <c r="G108" s="780" t="s">
        <v>61</v>
      </c>
      <c r="H108" s="781" t="s">
        <v>62</v>
      </c>
      <c r="I108" s="781" t="s">
        <v>63</v>
      </c>
      <c r="J108" s="782" t="s">
        <v>75</v>
      </c>
      <c r="K108" s="780" t="s">
        <v>64</v>
      </c>
      <c r="L108" s="783" t="s">
        <v>65</v>
      </c>
      <c r="M108" s="617"/>
      <c r="N108" s="617"/>
      <c r="O108" s="613"/>
      <c r="P108" s="613"/>
      <c r="Q108" s="613"/>
    </row>
    <row r="109" spans="1:17" ht="15.75">
      <c r="A109" s="2111"/>
      <c r="B109" s="2112"/>
      <c r="C109" s="712">
        <v>2014</v>
      </c>
      <c r="D109" s="639"/>
      <c r="E109" s="765"/>
      <c r="F109" s="639"/>
      <c r="G109" s="639"/>
      <c r="H109" s="639"/>
      <c r="I109" s="639"/>
      <c r="J109" s="639"/>
      <c r="K109" s="639"/>
      <c r="L109" s="642"/>
      <c r="M109" s="617"/>
      <c r="N109" s="617"/>
      <c r="O109" s="613"/>
      <c r="P109" s="613"/>
      <c r="Q109" s="613"/>
    </row>
    <row r="110" spans="1:17" ht="15.75">
      <c r="A110" s="2111"/>
      <c r="B110" s="2112"/>
      <c r="C110" s="716">
        <v>2015</v>
      </c>
      <c r="D110" s="646"/>
      <c r="E110" s="718"/>
      <c r="F110" s="646"/>
      <c r="G110" s="646"/>
      <c r="H110" s="646"/>
      <c r="I110" s="646"/>
      <c r="J110" s="646"/>
      <c r="K110" s="646"/>
      <c r="L110" s="698"/>
      <c r="M110" s="617"/>
      <c r="N110" s="617"/>
      <c r="O110" s="613"/>
      <c r="P110" s="613"/>
      <c r="Q110" s="613"/>
    </row>
    <row r="111" spans="1:17" ht="15.75">
      <c r="A111" s="2111"/>
      <c r="B111" s="2112"/>
      <c r="C111" s="716">
        <v>2016</v>
      </c>
      <c r="D111" s="646"/>
      <c r="E111" s="718"/>
      <c r="F111" s="646"/>
      <c r="G111" s="646"/>
      <c r="H111" s="646"/>
      <c r="I111" s="646"/>
      <c r="J111" s="646"/>
      <c r="K111" s="646"/>
      <c r="L111" s="698"/>
      <c r="M111" s="617"/>
      <c r="N111" s="617"/>
      <c r="O111" s="613"/>
      <c r="P111" s="613"/>
      <c r="Q111" s="613"/>
    </row>
    <row r="112" spans="1:17" ht="15.75">
      <c r="A112" s="2111"/>
      <c r="B112" s="2112"/>
      <c r="C112" s="716">
        <v>2017</v>
      </c>
      <c r="D112" s="646"/>
      <c r="E112" s="718"/>
      <c r="F112" s="646"/>
      <c r="G112" s="646"/>
      <c r="H112" s="646"/>
      <c r="I112" s="646"/>
      <c r="J112" s="646"/>
      <c r="K112" s="646"/>
      <c r="L112" s="698"/>
      <c r="M112" s="617"/>
      <c r="N112" s="617"/>
      <c r="O112" s="613"/>
      <c r="P112" s="613"/>
      <c r="Q112" s="613"/>
    </row>
    <row r="113" spans="1:17" ht="15.75">
      <c r="A113" s="2111"/>
      <c r="B113" s="2112"/>
      <c r="C113" s="716">
        <v>2018</v>
      </c>
      <c r="D113" s="646"/>
      <c r="E113" s="718"/>
      <c r="F113" s="646"/>
      <c r="G113" s="646"/>
      <c r="H113" s="646"/>
      <c r="I113" s="646"/>
      <c r="J113" s="646"/>
      <c r="K113" s="646"/>
      <c r="L113" s="698"/>
      <c r="M113" s="617"/>
      <c r="N113" s="617"/>
      <c r="O113" s="613"/>
      <c r="P113" s="613"/>
      <c r="Q113" s="613"/>
    </row>
    <row r="114" spans="1:17" ht="15.75">
      <c r="A114" s="2111"/>
      <c r="B114" s="2112"/>
      <c r="C114" s="716">
        <v>2019</v>
      </c>
      <c r="D114" s="646"/>
      <c r="E114" s="718"/>
      <c r="F114" s="646"/>
      <c r="G114" s="646"/>
      <c r="H114" s="646"/>
      <c r="I114" s="646"/>
      <c r="J114" s="646"/>
      <c r="K114" s="646"/>
      <c r="L114" s="698"/>
      <c r="M114" s="617"/>
      <c r="N114" s="617"/>
      <c r="O114" s="613"/>
      <c r="P114" s="613"/>
      <c r="Q114" s="613"/>
    </row>
    <row r="115" spans="1:17" ht="15.75">
      <c r="A115" s="2111"/>
      <c r="B115" s="2112"/>
      <c r="C115" s="716">
        <v>2020</v>
      </c>
      <c r="D115" s="646"/>
      <c r="E115" s="718"/>
      <c r="F115" s="646"/>
      <c r="G115" s="646"/>
      <c r="H115" s="646"/>
      <c r="I115" s="646"/>
      <c r="J115" s="646"/>
      <c r="K115" s="646"/>
      <c r="L115" s="698"/>
      <c r="M115" s="617"/>
      <c r="N115" s="617"/>
      <c r="O115" s="613"/>
      <c r="P115" s="613"/>
      <c r="Q115" s="613"/>
    </row>
    <row r="116" spans="1:17" ht="16.5" thickBot="1">
      <c r="A116" s="2144"/>
      <c r="B116" s="2114"/>
      <c r="C116" s="719" t="s">
        <v>13</v>
      </c>
      <c r="D116" s="722">
        <f t="shared" ref="D116:I116" si="9">SUM(D109:D115)</f>
        <v>0</v>
      </c>
      <c r="E116" s="721">
        <f t="shared" si="9"/>
        <v>0</v>
      </c>
      <c r="F116" s="722">
        <f t="shared" si="9"/>
        <v>0</v>
      </c>
      <c r="G116" s="722">
        <f t="shared" si="9"/>
        <v>0</v>
      </c>
      <c r="H116" s="722">
        <f t="shared" si="9"/>
        <v>0</v>
      </c>
      <c r="I116" s="722">
        <f t="shared" si="9"/>
        <v>0</v>
      </c>
      <c r="J116" s="722"/>
      <c r="K116" s="722">
        <f>SUM(K109:K115)</f>
        <v>0</v>
      </c>
      <c r="L116" s="723">
        <f>SUM(L109:L115)</f>
        <v>0</v>
      </c>
      <c r="M116" s="617"/>
      <c r="N116" s="617"/>
      <c r="O116" s="613"/>
      <c r="P116" s="613"/>
      <c r="Q116" s="613"/>
    </row>
    <row r="117" spans="1:17" ht="16.5" thickBot="1">
      <c r="A117" s="787"/>
      <c r="B117" s="788"/>
      <c r="C117" s="675"/>
      <c r="D117" s="675"/>
      <c r="E117" s="675"/>
      <c r="F117" s="675"/>
      <c r="G117" s="675"/>
      <c r="H117" s="675"/>
      <c r="I117" s="675"/>
      <c r="J117" s="675"/>
      <c r="K117" s="675"/>
      <c r="L117" s="675"/>
      <c r="M117" s="617"/>
      <c r="N117" s="617"/>
      <c r="O117" s="613"/>
      <c r="P117" s="613"/>
      <c r="Q117" s="613"/>
    </row>
    <row r="118" spans="1:17" ht="15.75">
      <c r="A118" s="2145" t="s">
        <v>81</v>
      </c>
      <c r="B118" s="2147" t="s">
        <v>275</v>
      </c>
      <c r="C118" s="2149" t="s">
        <v>9</v>
      </c>
      <c r="D118" s="2151" t="s">
        <v>82</v>
      </c>
      <c r="E118" s="774" t="s">
        <v>79</v>
      </c>
      <c r="F118" s="775"/>
      <c r="G118" s="775"/>
      <c r="H118" s="775"/>
      <c r="I118" s="775"/>
      <c r="J118" s="775"/>
      <c r="K118" s="775"/>
      <c r="L118" s="776"/>
      <c r="M118" s="617"/>
      <c r="N118" s="617"/>
      <c r="O118" s="613"/>
      <c r="P118" s="613"/>
      <c r="Q118" s="613"/>
    </row>
    <row r="119" spans="1:17" ht="120.75">
      <c r="A119" s="2146"/>
      <c r="B119" s="2148"/>
      <c r="C119" s="2150"/>
      <c r="D119" s="2152"/>
      <c r="E119" s="779" t="s">
        <v>14</v>
      </c>
      <c r="F119" s="780" t="s">
        <v>74</v>
      </c>
      <c r="G119" s="780" t="s">
        <v>61</v>
      </c>
      <c r="H119" s="781" t="s">
        <v>62</v>
      </c>
      <c r="I119" s="781" t="s">
        <v>63</v>
      </c>
      <c r="J119" s="782" t="s">
        <v>75</v>
      </c>
      <c r="K119" s="780" t="s">
        <v>64</v>
      </c>
      <c r="L119" s="783" t="s">
        <v>65</v>
      </c>
      <c r="M119" s="617"/>
      <c r="N119" s="617"/>
      <c r="O119" s="613"/>
      <c r="P119" s="613"/>
      <c r="Q119" s="613"/>
    </row>
    <row r="120" spans="1:17" ht="15.75">
      <c r="A120" s="2111"/>
      <c r="B120" s="2112"/>
      <c r="C120" s="712">
        <v>2014</v>
      </c>
      <c r="D120" s="639"/>
      <c r="E120" s="765"/>
      <c r="F120" s="639"/>
      <c r="G120" s="639"/>
      <c r="H120" s="639"/>
      <c r="I120" s="639"/>
      <c r="J120" s="639"/>
      <c r="K120" s="639"/>
      <c r="L120" s="642"/>
      <c r="M120" s="617"/>
      <c r="N120" s="617"/>
      <c r="O120" s="613"/>
      <c r="P120" s="613"/>
      <c r="Q120" s="613"/>
    </row>
    <row r="121" spans="1:17" ht="15.75">
      <c r="A121" s="2111"/>
      <c r="B121" s="2112"/>
      <c r="C121" s="716">
        <v>2015</v>
      </c>
      <c r="D121" s="646"/>
      <c r="E121" s="718"/>
      <c r="F121" s="646"/>
      <c r="G121" s="646"/>
      <c r="H121" s="646"/>
      <c r="I121" s="646"/>
      <c r="J121" s="646"/>
      <c r="K121" s="646"/>
      <c r="L121" s="698"/>
      <c r="M121" s="617"/>
      <c r="N121" s="617"/>
      <c r="O121" s="613"/>
      <c r="P121" s="613"/>
      <c r="Q121" s="613"/>
    </row>
    <row r="122" spans="1:17" ht="15.75">
      <c r="A122" s="2111"/>
      <c r="B122" s="2112"/>
      <c r="C122" s="716">
        <v>2016</v>
      </c>
      <c r="D122" s="646"/>
      <c r="E122" s="718"/>
      <c r="F122" s="646"/>
      <c r="G122" s="646"/>
      <c r="H122" s="646"/>
      <c r="I122" s="646"/>
      <c r="J122" s="646"/>
      <c r="K122" s="646"/>
      <c r="L122" s="698"/>
      <c r="M122" s="617"/>
      <c r="N122" s="617"/>
      <c r="O122" s="613"/>
      <c r="P122" s="613"/>
      <c r="Q122" s="613"/>
    </row>
    <row r="123" spans="1:17" ht="15.75">
      <c r="A123" s="2111"/>
      <c r="B123" s="2112"/>
      <c r="C123" s="716">
        <v>2017</v>
      </c>
      <c r="D123" s="646"/>
      <c r="E123" s="718"/>
      <c r="F123" s="646"/>
      <c r="G123" s="646"/>
      <c r="H123" s="646"/>
      <c r="I123" s="646"/>
      <c r="J123" s="646"/>
      <c r="K123" s="646"/>
      <c r="L123" s="698"/>
      <c r="M123" s="617"/>
      <c r="N123" s="617"/>
      <c r="O123" s="613"/>
      <c r="P123" s="613"/>
      <c r="Q123" s="613"/>
    </row>
    <row r="124" spans="1:17" ht="15.75">
      <c r="A124" s="2111"/>
      <c r="B124" s="2112"/>
      <c r="C124" s="716">
        <v>2018</v>
      </c>
      <c r="D124" s="646"/>
      <c r="E124" s="718"/>
      <c r="F124" s="646"/>
      <c r="G124" s="646"/>
      <c r="H124" s="646"/>
      <c r="I124" s="646"/>
      <c r="J124" s="646"/>
      <c r="K124" s="646"/>
      <c r="L124" s="698"/>
      <c r="M124" s="617"/>
      <c r="N124" s="617"/>
      <c r="O124" s="613"/>
      <c r="P124" s="613"/>
      <c r="Q124" s="613"/>
    </row>
    <row r="125" spans="1:17" ht="15.75">
      <c r="A125" s="2111"/>
      <c r="B125" s="2112"/>
      <c r="C125" s="716">
        <v>2019</v>
      </c>
      <c r="D125" s="646"/>
      <c r="E125" s="718"/>
      <c r="F125" s="646"/>
      <c r="G125" s="646"/>
      <c r="H125" s="646"/>
      <c r="I125" s="646"/>
      <c r="J125" s="646"/>
      <c r="K125" s="646"/>
      <c r="L125" s="698"/>
      <c r="M125" s="617"/>
      <c r="N125" s="617"/>
      <c r="O125" s="613"/>
      <c r="P125" s="613"/>
      <c r="Q125" s="613"/>
    </row>
    <row r="126" spans="1:17" ht="15.75">
      <c r="A126" s="2111"/>
      <c r="B126" s="2112"/>
      <c r="C126" s="716">
        <v>2020</v>
      </c>
      <c r="D126" s="646"/>
      <c r="E126" s="718"/>
      <c r="F126" s="646"/>
      <c r="G126" s="646"/>
      <c r="H126" s="646"/>
      <c r="I126" s="646"/>
      <c r="J126" s="646"/>
      <c r="K126" s="646"/>
      <c r="L126" s="698"/>
      <c r="M126" s="617"/>
      <c r="N126" s="617"/>
      <c r="O126" s="613"/>
      <c r="P126" s="613"/>
      <c r="Q126" s="613"/>
    </row>
    <row r="127" spans="1:17" ht="16.5" thickBot="1">
      <c r="A127" s="2144"/>
      <c r="B127" s="2114"/>
      <c r="C127" s="719" t="s">
        <v>13</v>
      </c>
      <c r="D127" s="722">
        <f t="shared" ref="D127:I127" si="10">SUM(D120:D126)</f>
        <v>0</v>
      </c>
      <c r="E127" s="721">
        <f t="shared" si="10"/>
        <v>0</v>
      </c>
      <c r="F127" s="722">
        <f t="shared" si="10"/>
        <v>0</v>
      </c>
      <c r="G127" s="722">
        <f t="shared" si="10"/>
        <v>0</v>
      </c>
      <c r="H127" s="722">
        <f t="shared" si="10"/>
        <v>0</v>
      </c>
      <c r="I127" s="722">
        <f t="shared" si="10"/>
        <v>0</v>
      </c>
      <c r="J127" s="722"/>
      <c r="K127" s="722">
        <f>SUM(K120:K126)</f>
        <v>0</v>
      </c>
      <c r="L127" s="723">
        <f>SUM(L120:L126)</f>
        <v>0</v>
      </c>
      <c r="M127" s="617"/>
      <c r="N127" s="617"/>
      <c r="O127" s="613"/>
      <c r="P127" s="613"/>
      <c r="Q127" s="613"/>
    </row>
    <row r="128" spans="1:17" ht="16.5" thickBot="1">
      <c r="A128" s="784"/>
      <c r="B128" s="785"/>
      <c r="C128" s="786"/>
      <c r="D128" s="617"/>
      <c r="E128" s="617"/>
      <c r="F128" s="613"/>
      <c r="G128" s="613"/>
      <c r="H128" s="617"/>
      <c r="I128" s="617"/>
      <c r="J128" s="617"/>
      <c r="K128" s="617"/>
      <c r="L128" s="617"/>
      <c r="M128" s="617"/>
      <c r="N128" s="617"/>
      <c r="O128" s="613"/>
      <c r="P128" s="613"/>
      <c r="Q128" s="613"/>
    </row>
    <row r="129" spans="1:17" ht="31.5">
      <c r="A129" s="789" t="s">
        <v>84</v>
      </c>
      <c r="B129" s="2147" t="s">
        <v>275</v>
      </c>
      <c r="C129" s="790" t="s">
        <v>9</v>
      </c>
      <c r="D129" s="791" t="s">
        <v>85</v>
      </c>
      <c r="E129" s="792"/>
      <c r="F129" s="792"/>
      <c r="G129" s="793"/>
      <c r="H129" s="617"/>
      <c r="I129" s="617"/>
      <c r="J129" s="617"/>
      <c r="K129" s="617"/>
      <c r="L129" s="617"/>
      <c r="M129" s="617"/>
      <c r="N129" s="617"/>
      <c r="O129" s="613"/>
      <c r="P129" s="613"/>
      <c r="Q129" s="613"/>
    </row>
    <row r="130" spans="1:17" ht="75.75">
      <c r="A130" s="794"/>
      <c r="B130" s="2148"/>
      <c r="C130" s="795"/>
      <c r="D130" s="777" t="s">
        <v>86</v>
      </c>
      <c r="E130" s="796" t="s">
        <v>87</v>
      </c>
      <c r="F130" s="778" t="s">
        <v>88</v>
      </c>
      <c r="G130" s="797" t="s">
        <v>13</v>
      </c>
      <c r="H130" s="617"/>
      <c r="I130" s="617"/>
      <c r="J130" s="617"/>
      <c r="K130" s="617"/>
      <c r="L130" s="617"/>
      <c r="M130" s="617"/>
      <c r="N130" s="617"/>
      <c r="O130" s="613"/>
      <c r="P130" s="613"/>
      <c r="Q130" s="613"/>
    </row>
    <row r="131" spans="1:17" ht="15.75">
      <c r="A131" s="2100"/>
      <c r="B131" s="2097"/>
      <c r="C131" s="712">
        <v>2015</v>
      </c>
      <c r="D131" s="638">
        <v>15</v>
      </c>
      <c r="E131" s="639"/>
      <c r="F131" s="639"/>
      <c r="G131" s="798">
        <f t="shared" ref="G131:G136" si="11">SUM(D131:F131)</f>
        <v>15</v>
      </c>
      <c r="H131" s="617"/>
      <c r="I131" s="617"/>
      <c r="J131" s="617"/>
      <c r="K131" s="617"/>
      <c r="L131" s="617"/>
      <c r="M131" s="617"/>
      <c r="N131" s="617"/>
      <c r="O131" s="613"/>
      <c r="P131" s="613"/>
      <c r="Q131" s="613"/>
    </row>
    <row r="132" spans="1:17" ht="15.75">
      <c r="A132" s="2100"/>
      <c r="B132" s="2097"/>
      <c r="C132" s="716">
        <v>2016</v>
      </c>
      <c r="D132" s="645">
        <v>78</v>
      </c>
      <c r="E132" s="646"/>
      <c r="F132" s="646"/>
      <c r="G132" s="798">
        <f t="shared" si="11"/>
        <v>78</v>
      </c>
      <c r="H132" s="617"/>
      <c r="I132" s="617"/>
      <c r="J132" s="617"/>
      <c r="K132" s="617"/>
      <c r="L132" s="617"/>
      <c r="M132" s="617"/>
      <c r="N132" s="617"/>
      <c r="O132" s="613"/>
      <c r="P132" s="613"/>
      <c r="Q132" s="613"/>
    </row>
    <row r="133" spans="1:17" ht="15.75">
      <c r="A133" s="2100"/>
      <c r="B133" s="2097"/>
      <c r="C133" s="716">
        <v>2017</v>
      </c>
      <c r="D133" s="645">
        <v>92</v>
      </c>
      <c r="E133" s="646"/>
      <c r="F133" s="646"/>
      <c r="G133" s="798">
        <f t="shared" si="11"/>
        <v>92</v>
      </c>
      <c r="H133" s="617"/>
      <c r="I133" s="617"/>
      <c r="J133" s="617"/>
      <c r="K133" s="617"/>
      <c r="L133" s="617"/>
      <c r="M133" s="617"/>
      <c r="N133" s="617"/>
      <c r="O133" s="613"/>
      <c r="P133" s="613"/>
      <c r="Q133" s="613"/>
    </row>
    <row r="134" spans="1:17" ht="15.75">
      <c r="A134" s="2100"/>
      <c r="B134" s="2097"/>
      <c r="C134" s="716">
        <v>2018</v>
      </c>
      <c r="D134" s="645"/>
      <c r="E134" s="646"/>
      <c r="F134" s="646"/>
      <c r="G134" s="798">
        <f t="shared" si="11"/>
        <v>0</v>
      </c>
      <c r="H134" s="617"/>
      <c r="I134" s="617"/>
      <c r="J134" s="617"/>
      <c r="K134" s="617"/>
      <c r="L134" s="617"/>
      <c r="M134" s="617"/>
      <c r="N134" s="617"/>
      <c r="O134" s="613"/>
      <c r="P134" s="613"/>
      <c r="Q134" s="613"/>
    </row>
    <row r="135" spans="1:17" ht="15.75">
      <c r="A135" s="2100"/>
      <c r="B135" s="2097"/>
      <c r="C135" s="716">
        <v>2019</v>
      </c>
      <c r="D135" s="645"/>
      <c r="E135" s="646"/>
      <c r="F135" s="646"/>
      <c r="G135" s="798">
        <f t="shared" si="11"/>
        <v>0</v>
      </c>
      <c r="H135" s="617"/>
      <c r="I135" s="617"/>
      <c r="J135" s="617"/>
      <c r="K135" s="617"/>
      <c r="L135" s="617"/>
      <c r="M135" s="617"/>
      <c r="N135" s="617"/>
      <c r="O135" s="613"/>
      <c r="P135" s="613"/>
      <c r="Q135" s="613"/>
    </row>
    <row r="136" spans="1:17" ht="15.75">
      <c r="A136" s="2100"/>
      <c r="B136" s="2097"/>
      <c r="C136" s="716">
        <v>2020</v>
      </c>
      <c r="D136" s="645"/>
      <c r="E136" s="646"/>
      <c r="F136" s="646"/>
      <c r="G136" s="798">
        <f t="shared" si="11"/>
        <v>0</v>
      </c>
      <c r="H136" s="617"/>
      <c r="I136" s="617"/>
      <c r="J136" s="617"/>
      <c r="K136" s="617"/>
      <c r="L136" s="617"/>
      <c r="M136" s="617"/>
      <c r="N136" s="617"/>
      <c r="O136" s="613"/>
      <c r="P136" s="613"/>
      <c r="Q136" s="613"/>
    </row>
    <row r="137" spans="1:17" ht="16.5" thickBot="1">
      <c r="A137" s="2101"/>
      <c r="B137" s="2099"/>
      <c r="C137" s="719" t="s">
        <v>13</v>
      </c>
      <c r="D137" s="749">
        <f>SUM(D131:D136)</f>
        <v>185</v>
      </c>
      <c r="E137" s="749">
        <f t="shared" ref="E137:F137" si="12">SUM(E131:E136)</f>
        <v>0</v>
      </c>
      <c r="F137" s="749">
        <f t="shared" si="12"/>
        <v>0</v>
      </c>
      <c r="G137" s="799">
        <f>SUM(G131:G136)</f>
        <v>185</v>
      </c>
      <c r="H137" s="617"/>
      <c r="I137" s="617"/>
      <c r="J137" s="617"/>
      <c r="K137" s="617"/>
      <c r="L137" s="617"/>
      <c r="M137" s="617"/>
      <c r="N137" s="617"/>
      <c r="O137" s="613"/>
      <c r="P137" s="613"/>
      <c r="Q137" s="613"/>
    </row>
    <row r="138" spans="1:17" ht="15.75">
      <c r="A138" s="784"/>
      <c r="B138" s="785"/>
      <c r="C138" s="786"/>
      <c r="D138" s="617"/>
      <c r="E138" s="617"/>
      <c r="F138" s="613"/>
      <c r="G138" s="613"/>
      <c r="H138" s="617"/>
      <c r="I138" s="617"/>
      <c r="J138" s="617"/>
      <c r="K138" s="617"/>
      <c r="L138" s="617"/>
      <c r="M138" s="617"/>
      <c r="N138" s="617"/>
      <c r="O138" s="613"/>
      <c r="P138" s="613"/>
      <c r="Q138" s="613"/>
    </row>
    <row r="139" spans="1:17" ht="15.75">
      <c r="A139" s="800"/>
      <c r="B139" s="692"/>
      <c r="C139" s="693"/>
      <c r="D139" s="643"/>
      <c r="E139" s="643"/>
      <c r="F139" s="643"/>
      <c r="G139" s="643"/>
      <c r="H139" s="643"/>
      <c r="I139" s="801"/>
      <c r="J139" s="643"/>
      <c r="K139" s="643"/>
      <c r="L139" s="643"/>
      <c r="M139" s="643"/>
      <c r="N139" s="643"/>
      <c r="O139" s="643"/>
      <c r="P139" s="643"/>
      <c r="Q139" s="675"/>
    </row>
    <row r="140" spans="1:17" ht="15.75">
      <c r="A140" s="802" t="s">
        <v>90</v>
      </c>
      <c r="B140" s="803"/>
      <c r="C140" s="804"/>
      <c r="D140" s="804"/>
      <c r="E140" s="804"/>
      <c r="F140" s="804"/>
      <c r="G140" s="804"/>
      <c r="H140" s="804"/>
      <c r="I140" s="804"/>
      <c r="J140" s="804"/>
      <c r="K140" s="804"/>
      <c r="L140" s="804"/>
      <c r="M140" s="804"/>
      <c r="N140" s="804"/>
      <c r="O140" s="771"/>
      <c r="P140" s="771"/>
      <c r="Q140" s="613"/>
    </row>
    <row r="141" spans="1:17" ht="16.5" thickBot="1">
      <c r="A141" s="805"/>
      <c r="B141" s="725"/>
      <c r="C141" s="751"/>
      <c r="D141" s="690"/>
      <c r="E141" s="690"/>
      <c r="F141" s="690"/>
      <c r="G141" s="690"/>
      <c r="H141" s="690"/>
      <c r="I141" s="690"/>
      <c r="J141" s="690"/>
      <c r="K141" s="690"/>
      <c r="L141" s="690"/>
      <c r="M141" s="690"/>
      <c r="N141" s="690"/>
      <c r="O141" s="690"/>
      <c r="P141" s="690"/>
      <c r="Q141" s="613"/>
    </row>
    <row r="142" spans="1:17" ht="15.75">
      <c r="A142" s="2153" t="s">
        <v>91</v>
      </c>
      <c r="B142" s="2137" t="s">
        <v>275</v>
      </c>
      <c r="C142" s="2139" t="s">
        <v>9</v>
      </c>
      <c r="D142" s="806" t="s">
        <v>92</v>
      </c>
      <c r="E142" s="807"/>
      <c r="F142" s="807"/>
      <c r="G142" s="807"/>
      <c r="H142" s="807"/>
      <c r="I142" s="808"/>
      <c r="J142" s="2141" t="s">
        <v>93</v>
      </c>
      <c r="K142" s="2142"/>
      <c r="L142" s="2142"/>
      <c r="M142" s="2142"/>
      <c r="N142" s="2143"/>
      <c r="O142" s="690"/>
      <c r="P142" s="690"/>
      <c r="Q142" s="613"/>
    </row>
    <row r="143" spans="1:17" ht="110.25">
      <c r="A143" s="2154"/>
      <c r="B143" s="2138"/>
      <c r="C143" s="2140"/>
      <c r="D143" s="809" t="s">
        <v>94</v>
      </c>
      <c r="E143" s="810" t="s">
        <v>95</v>
      </c>
      <c r="F143" s="811" t="s">
        <v>96</v>
      </c>
      <c r="G143" s="811" t="s">
        <v>97</v>
      </c>
      <c r="H143" s="811" t="s">
        <v>98</v>
      </c>
      <c r="I143" s="812" t="s">
        <v>99</v>
      </c>
      <c r="J143" s="813" t="s">
        <v>100</v>
      </c>
      <c r="K143" s="814" t="s">
        <v>101</v>
      </c>
      <c r="L143" s="813" t="s">
        <v>102</v>
      </c>
      <c r="M143" s="814" t="s">
        <v>101</v>
      </c>
      <c r="N143" s="815" t="s">
        <v>103</v>
      </c>
      <c r="O143" s="690"/>
      <c r="P143" s="690"/>
      <c r="Q143" s="613"/>
    </row>
    <row r="144" spans="1:17" ht="15.75">
      <c r="A144" s="2111"/>
      <c r="B144" s="2112"/>
      <c r="C144" s="712">
        <v>2014</v>
      </c>
      <c r="D144" s="638"/>
      <c r="E144" s="638"/>
      <c r="F144" s="639"/>
      <c r="G144" s="639"/>
      <c r="H144" s="639"/>
      <c r="I144" s="816">
        <f>D144+F144+G144+H144</f>
        <v>0</v>
      </c>
      <c r="J144" s="638"/>
      <c r="K144" s="637"/>
      <c r="L144" s="638"/>
      <c r="M144" s="637"/>
      <c r="N144" s="764"/>
      <c r="O144" s="690"/>
      <c r="P144" s="690"/>
      <c r="Q144" s="613"/>
    </row>
    <row r="145" spans="1:17" ht="15.75">
      <c r="A145" s="2111"/>
      <c r="B145" s="2112"/>
      <c r="C145" s="716">
        <v>2015</v>
      </c>
      <c r="D145" s="645"/>
      <c r="E145" s="645"/>
      <c r="F145" s="646"/>
      <c r="G145" s="646"/>
      <c r="H145" s="646"/>
      <c r="I145" s="816">
        <f t="shared" ref="I145:I150" si="13">D145+F145+G145+H145</f>
        <v>0</v>
      </c>
      <c r="J145" s="645"/>
      <c r="K145" s="644"/>
      <c r="L145" s="645"/>
      <c r="M145" s="644"/>
      <c r="N145" s="766"/>
      <c r="O145" s="690"/>
      <c r="P145" s="690"/>
      <c r="Q145" s="613"/>
    </row>
    <row r="146" spans="1:17" ht="15.75">
      <c r="A146" s="2111"/>
      <c r="B146" s="2112"/>
      <c r="C146" s="716">
        <v>2016</v>
      </c>
      <c r="D146" s="645"/>
      <c r="E146" s="645"/>
      <c r="F146" s="646"/>
      <c r="G146" s="646"/>
      <c r="H146" s="646"/>
      <c r="I146" s="816">
        <f t="shared" si="13"/>
        <v>0</v>
      </c>
      <c r="J146" s="645"/>
      <c r="K146" s="644"/>
      <c r="L146" s="645"/>
      <c r="M146" s="644"/>
      <c r="N146" s="766"/>
      <c r="O146" s="690"/>
      <c r="P146" s="690"/>
      <c r="Q146" s="613"/>
    </row>
    <row r="147" spans="1:17" ht="15.75">
      <c r="A147" s="2111"/>
      <c r="B147" s="2112"/>
      <c r="C147" s="716">
        <v>2017</v>
      </c>
      <c r="D147" s="645"/>
      <c r="E147" s="645"/>
      <c r="F147" s="646"/>
      <c r="G147" s="646"/>
      <c r="H147" s="646"/>
      <c r="I147" s="816">
        <f t="shared" si="13"/>
        <v>0</v>
      </c>
      <c r="J147" s="645"/>
      <c r="K147" s="644"/>
      <c r="L147" s="645"/>
      <c r="M147" s="644"/>
      <c r="N147" s="766"/>
      <c r="O147" s="690"/>
      <c r="P147" s="690"/>
      <c r="Q147" s="613"/>
    </row>
    <row r="148" spans="1:17" ht="15.75">
      <c r="A148" s="2111"/>
      <c r="B148" s="2112"/>
      <c r="C148" s="716">
        <v>2018</v>
      </c>
      <c r="D148" s="645"/>
      <c r="E148" s="645"/>
      <c r="F148" s="646"/>
      <c r="G148" s="646"/>
      <c r="H148" s="646"/>
      <c r="I148" s="816">
        <f t="shared" si="13"/>
        <v>0</v>
      </c>
      <c r="J148" s="645"/>
      <c r="K148" s="644"/>
      <c r="L148" s="645"/>
      <c r="M148" s="644"/>
      <c r="N148" s="766"/>
      <c r="O148" s="690"/>
      <c r="P148" s="690"/>
      <c r="Q148" s="613"/>
    </row>
    <row r="149" spans="1:17" ht="15.75">
      <c r="A149" s="2111"/>
      <c r="B149" s="2112"/>
      <c r="C149" s="716">
        <v>2019</v>
      </c>
      <c r="D149" s="645"/>
      <c r="E149" s="645"/>
      <c r="F149" s="646"/>
      <c r="G149" s="646"/>
      <c r="H149" s="646"/>
      <c r="I149" s="816">
        <f t="shared" si="13"/>
        <v>0</v>
      </c>
      <c r="J149" s="645"/>
      <c r="K149" s="644"/>
      <c r="L149" s="645"/>
      <c r="M149" s="644"/>
      <c r="N149" s="766"/>
      <c r="O149" s="690"/>
      <c r="P149" s="690"/>
      <c r="Q149" s="613"/>
    </row>
    <row r="150" spans="1:17" ht="15.75">
      <c r="A150" s="2111"/>
      <c r="B150" s="2112"/>
      <c r="C150" s="716">
        <v>2020</v>
      </c>
      <c r="D150" s="645"/>
      <c r="E150" s="645"/>
      <c r="F150" s="646"/>
      <c r="G150" s="646"/>
      <c r="H150" s="646"/>
      <c r="I150" s="816">
        <f t="shared" si="13"/>
        <v>0</v>
      </c>
      <c r="J150" s="645"/>
      <c r="K150" s="644"/>
      <c r="L150" s="645"/>
      <c r="M150" s="644"/>
      <c r="N150" s="766"/>
      <c r="O150" s="690"/>
      <c r="P150" s="690"/>
      <c r="Q150" s="613"/>
    </row>
    <row r="151" spans="1:17" ht="16.5" thickBot="1">
      <c r="A151" s="2113"/>
      <c r="B151" s="2114"/>
      <c r="C151" s="719" t="s">
        <v>13</v>
      </c>
      <c r="D151" s="749">
        <f>SUM(D144:D150)</f>
        <v>0</v>
      </c>
      <c r="E151" s="749">
        <f t="shared" ref="E151:I151" si="14">SUM(E144:E150)</f>
        <v>0</v>
      </c>
      <c r="F151" s="749">
        <f t="shared" si="14"/>
        <v>0</v>
      </c>
      <c r="G151" s="749">
        <f t="shared" si="14"/>
        <v>0</v>
      </c>
      <c r="H151" s="749">
        <f t="shared" si="14"/>
        <v>0</v>
      </c>
      <c r="I151" s="817">
        <f t="shared" si="14"/>
        <v>0</v>
      </c>
      <c r="J151" s="749">
        <f>SUM(J144:J150)</f>
        <v>0</v>
      </c>
      <c r="K151" s="817">
        <f>SUM(K144:K150)</f>
        <v>0</v>
      </c>
      <c r="L151" s="749">
        <f>SUM(L144:L150)</f>
        <v>0</v>
      </c>
      <c r="M151" s="817">
        <f>SUM(M144:M150)</f>
        <v>0</v>
      </c>
      <c r="N151" s="818">
        <f>SUM(N144:N150)</f>
        <v>0</v>
      </c>
      <c r="O151" s="690"/>
      <c r="P151" s="690"/>
      <c r="Q151" s="613"/>
    </row>
    <row r="152" spans="1:17" ht="16.5" thickBot="1">
      <c r="A152" s="612"/>
      <c r="B152" s="613"/>
      <c r="C152" s="613"/>
      <c r="D152" s="613"/>
      <c r="E152" s="613"/>
      <c r="F152" s="613"/>
      <c r="G152" s="613"/>
      <c r="H152" s="613"/>
      <c r="I152" s="613"/>
      <c r="J152" s="613"/>
      <c r="K152" s="613"/>
      <c r="L152" s="613"/>
      <c r="M152" s="613"/>
      <c r="N152" s="613"/>
      <c r="O152" s="690"/>
      <c r="P152" s="690"/>
      <c r="Q152" s="613"/>
    </row>
    <row r="153" spans="1:17" ht="30.75">
      <c r="A153" s="2135" t="s">
        <v>105</v>
      </c>
      <c r="B153" s="2137" t="s">
        <v>275</v>
      </c>
      <c r="C153" s="2122" t="s">
        <v>9</v>
      </c>
      <c r="D153" s="819" t="s">
        <v>106</v>
      </c>
      <c r="E153" s="819"/>
      <c r="F153" s="820"/>
      <c r="G153" s="820"/>
      <c r="H153" s="819" t="s">
        <v>107</v>
      </c>
      <c r="I153" s="819"/>
      <c r="J153" s="821"/>
      <c r="K153" s="729"/>
      <c r="L153" s="729"/>
      <c r="M153" s="729"/>
      <c r="N153" s="729"/>
      <c r="O153" s="690"/>
      <c r="P153" s="690"/>
      <c r="Q153" s="613"/>
    </row>
    <row r="154" spans="1:17" ht="45.75">
      <c r="A154" s="2136"/>
      <c r="B154" s="2138"/>
      <c r="C154" s="2123"/>
      <c r="D154" s="822" t="s">
        <v>108</v>
      </c>
      <c r="E154" s="823" t="s">
        <v>109</v>
      </c>
      <c r="F154" s="824" t="s">
        <v>110</v>
      </c>
      <c r="G154" s="825" t="s">
        <v>111</v>
      </c>
      <c r="H154" s="822" t="s">
        <v>112</v>
      </c>
      <c r="I154" s="823" t="s">
        <v>113</v>
      </c>
      <c r="J154" s="826" t="s">
        <v>103</v>
      </c>
      <c r="K154" s="729"/>
      <c r="L154" s="729"/>
      <c r="M154" s="729"/>
      <c r="N154" s="729"/>
      <c r="O154" s="690"/>
      <c r="P154" s="690"/>
      <c r="Q154" s="613"/>
    </row>
    <row r="155" spans="1:17" ht="15.75">
      <c r="A155" s="2111"/>
      <c r="B155" s="2112"/>
      <c r="C155" s="827">
        <v>2014</v>
      </c>
      <c r="D155" s="638"/>
      <c r="E155" s="639"/>
      <c r="F155" s="637"/>
      <c r="G155" s="816">
        <f>SUM(D155:F155)</f>
        <v>0</v>
      </c>
      <c r="H155" s="638"/>
      <c r="I155" s="639"/>
      <c r="J155" s="642"/>
      <c r="K155" s="613"/>
      <c r="L155" s="613"/>
      <c r="M155" s="613"/>
      <c r="N155" s="613"/>
      <c r="O155" s="690"/>
      <c r="P155" s="690"/>
      <c r="Q155" s="613"/>
    </row>
    <row r="156" spans="1:17" ht="15.75">
      <c r="A156" s="2111"/>
      <c r="B156" s="2112"/>
      <c r="C156" s="828">
        <v>2015</v>
      </c>
      <c r="D156" s="645"/>
      <c r="E156" s="646"/>
      <c r="F156" s="644"/>
      <c r="G156" s="816">
        <f t="shared" ref="G156:G161" si="15">SUM(D156:F156)</f>
        <v>0</v>
      </c>
      <c r="H156" s="645"/>
      <c r="I156" s="646"/>
      <c r="J156" s="698"/>
      <c r="K156" s="613"/>
      <c r="L156" s="613"/>
      <c r="M156" s="613"/>
      <c r="N156" s="613"/>
      <c r="O156" s="690"/>
      <c r="P156" s="690"/>
      <c r="Q156" s="613"/>
    </row>
    <row r="157" spans="1:17" ht="15.75">
      <c r="A157" s="2111"/>
      <c r="B157" s="2112"/>
      <c r="C157" s="828">
        <v>2016</v>
      </c>
      <c r="D157" s="645"/>
      <c r="E157" s="646"/>
      <c r="F157" s="644"/>
      <c r="G157" s="816">
        <f t="shared" si="15"/>
        <v>0</v>
      </c>
      <c r="H157" s="645"/>
      <c r="I157" s="646"/>
      <c r="J157" s="698"/>
      <c r="K157" s="613"/>
      <c r="L157" s="613"/>
      <c r="M157" s="613"/>
      <c r="N157" s="613"/>
      <c r="O157" s="690"/>
      <c r="P157" s="690"/>
      <c r="Q157" s="613"/>
    </row>
    <row r="158" spans="1:17" ht="15.75">
      <c r="A158" s="2111"/>
      <c r="B158" s="2112"/>
      <c r="C158" s="828">
        <v>2017</v>
      </c>
      <c r="D158" s="645"/>
      <c r="E158" s="646"/>
      <c r="F158" s="644"/>
      <c r="G158" s="816">
        <f t="shared" si="15"/>
        <v>0</v>
      </c>
      <c r="H158" s="645"/>
      <c r="I158" s="646"/>
      <c r="J158" s="698"/>
      <c r="K158" s="613"/>
      <c r="L158" s="613"/>
      <c r="M158" s="613"/>
      <c r="N158" s="613"/>
      <c r="O158" s="690"/>
      <c r="P158" s="690"/>
      <c r="Q158" s="613"/>
    </row>
    <row r="159" spans="1:17" ht="15.75">
      <c r="A159" s="2111"/>
      <c r="B159" s="2112"/>
      <c r="C159" s="828">
        <v>2018</v>
      </c>
      <c r="D159" s="645"/>
      <c r="E159" s="646"/>
      <c r="F159" s="644"/>
      <c r="G159" s="816">
        <f t="shared" si="15"/>
        <v>0</v>
      </c>
      <c r="H159" s="645"/>
      <c r="I159" s="646"/>
      <c r="J159" s="698"/>
      <c r="K159" s="613"/>
      <c r="L159" s="613"/>
      <c r="M159" s="613"/>
      <c r="N159" s="613"/>
      <c r="O159" s="690"/>
      <c r="P159" s="690"/>
      <c r="Q159" s="613"/>
    </row>
    <row r="160" spans="1:17" ht="15.75">
      <c r="A160" s="2111"/>
      <c r="B160" s="2112"/>
      <c r="C160" s="828">
        <v>2019</v>
      </c>
      <c r="D160" s="645"/>
      <c r="E160" s="646"/>
      <c r="F160" s="644"/>
      <c r="G160" s="816">
        <f t="shared" si="15"/>
        <v>0</v>
      </c>
      <c r="H160" s="645"/>
      <c r="I160" s="646"/>
      <c r="J160" s="698"/>
      <c r="K160" s="613"/>
      <c r="L160" s="613"/>
      <c r="M160" s="613"/>
      <c r="N160" s="613"/>
      <c r="O160" s="690"/>
      <c r="P160" s="690"/>
      <c r="Q160" s="613"/>
    </row>
    <row r="161" spans="1:17" ht="15.75">
      <c r="A161" s="2111"/>
      <c r="B161" s="2112"/>
      <c r="C161" s="828">
        <v>2020</v>
      </c>
      <c r="D161" s="645"/>
      <c r="E161" s="646"/>
      <c r="F161" s="644"/>
      <c r="G161" s="816">
        <f t="shared" si="15"/>
        <v>0</v>
      </c>
      <c r="H161" s="645"/>
      <c r="I161" s="646"/>
      <c r="J161" s="698"/>
      <c r="K161" s="613"/>
      <c r="L161" s="613"/>
      <c r="M161" s="613"/>
      <c r="N161" s="613"/>
      <c r="O161" s="690"/>
      <c r="P161" s="690"/>
      <c r="Q161" s="613"/>
    </row>
    <row r="162" spans="1:17" ht="16.5" thickBot="1">
      <c r="A162" s="2113"/>
      <c r="B162" s="2114"/>
      <c r="C162" s="829" t="s">
        <v>13</v>
      </c>
      <c r="D162" s="749">
        <f t="shared" ref="D162:G162" si="16">SUM(D155:D161)</f>
        <v>0</v>
      </c>
      <c r="E162" s="722">
        <f t="shared" si="16"/>
        <v>0</v>
      </c>
      <c r="F162" s="817">
        <f t="shared" si="16"/>
        <v>0</v>
      </c>
      <c r="G162" s="817">
        <f t="shared" si="16"/>
        <v>0</v>
      </c>
      <c r="H162" s="749">
        <f>SUM(H155:H161)</f>
        <v>0</v>
      </c>
      <c r="I162" s="722">
        <f>SUM(I155:I161)</f>
        <v>0</v>
      </c>
      <c r="J162" s="830">
        <f>SUM(J155:J161)</f>
        <v>0</v>
      </c>
      <c r="K162" s="613"/>
      <c r="L162" s="613"/>
      <c r="M162" s="613"/>
      <c r="N162" s="613"/>
      <c r="O162" s="613"/>
      <c r="P162" s="613"/>
      <c r="Q162" s="613"/>
    </row>
    <row r="163" spans="1:17" ht="16.5" thickBot="1">
      <c r="A163" s="831"/>
      <c r="B163" s="832"/>
      <c r="C163" s="833"/>
      <c r="D163" s="690"/>
      <c r="E163" s="834"/>
      <c r="F163" s="690"/>
      <c r="G163" s="690"/>
      <c r="H163" s="690"/>
      <c r="I163" s="690"/>
      <c r="J163" s="835"/>
      <c r="K163" s="836"/>
      <c r="L163" s="613"/>
      <c r="M163" s="613"/>
      <c r="N163" s="613"/>
      <c r="O163" s="613"/>
      <c r="P163" s="613"/>
      <c r="Q163" s="613"/>
    </row>
    <row r="164" spans="1:17" ht="97.5" customHeight="1">
      <c r="A164" s="837" t="s">
        <v>115</v>
      </c>
      <c r="B164" s="838" t="s">
        <v>281</v>
      </c>
      <c r="C164" s="839" t="s">
        <v>9</v>
      </c>
      <c r="D164" s="840" t="s">
        <v>117</v>
      </c>
      <c r="E164" s="840" t="s">
        <v>118</v>
      </c>
      <c r="F164" s="841" t="s">
        <v>119</v>
      </c>
      <c r="G164" s="840" t="s">
        <v>120</v>
      </c>
      <c r="H164" s="840" t="s">
        <v>121</v>
      </c>
      <c r="I164" s="842" t="s">
        <v>122</v>
      </c>
      <c r="J164" s="843" t="s">
        <v>123</v>
      </c>
      <c r="K164" s="843" t="s">
        <v>124</v>
      </c>
      <c r="L164" s="844"/>
      <c r="M164" s="613"/>
      <c r="N164" s="613"/>
      <c r="O164" s="613"/>
      <c r="P164" s="613"/>
      <c r="Q164" s="613"/>
    </row>
    <row r="165" spans="1:17" ht="15.75">
      <c r="A165" s="2129"/>
      <c r="B165" s="2130"/>
      <c r="C165" s="845">
        <v>2014</v>
      </c>
      <c r="D165" s="639"/>
      <c r="E165" s="639"/>
      <c r="F165" s="639"/>
      <c r="G165" s="639"/>
      <c r="H165" s="639"/>
      <c r="I165" s="642"/>
      <c r="J165" s="846">
        <f>SUM(D165,F165,H165)</f>
        <v>0</v>
      </c>
      <c r="K165" s="847">
        <f>SUM(E165,G165,I165)</f>
        <v>0</v>
      </c>
      <c r="L165" s="844"/>
      <c r="M165" s="613"/>
      <c r="N165" s="613"/>
      <c r="O165" s="613"/>
      <c r="P165" s="613"/>
      <c r="Q165" s="613"/>
    </row>
    <row r="166" spans="1:17" ht="15.75">
      <c r="A166" s="2131"/>
      <c r="B166" s="2132"/>
      <c r="C166" s="848">
        <v>2015</v>
      </c>
      <c r="D166" s="849"/>
      <c r="E166" s="849"/>
      <c r="F166" s="849"/>
      <c r="G166" s="849"/>
      <c r="H166" s="849"/>
      <c r="I166" s="850"/>
      <c r="J166" s="851">
        <f t="shared" ref="J166:K171" si="17">SUM(D166,F166,H166)</f>
        <v>0</v>
      </c>
      <c r="K166" s="852">
        <f t="shared" si="17"/>
        <v>0</v>
      </c>
      <c r="L166" s="844"/>
      <c r="M166" s="613"/>
      <c r="N166" s="613"/>
      <c r="O166" s="613"/>
      <c r="P166" s="613"/>
      <c r="Q166" s="613"/>
    </row>
    <row r="167" spans="1:17" ht="15.75">
      <c r="A167" s="2131"/>
      <c r="B167" s="2132"/>
      <c r="C167" s="848">
        <v>2016</v>
      </c>
      <c r="D167" s="849"/>
      <c r="E167" s="849"/>
      <c r="F167" s="849"/>
      <c r="G167" s="849"/>
      <c r="H167" s="849"/>
      <c r="I167" s="850"/>
      <c r="J167" s="851">
        <f t="shared" si="17"/>
        <v>0</v>
      </c>
      <c r="K167" s="852">
        <f t="shared" si="17"/>
        <v>0</v>
      </c>
      <c r="L167" s="613"/>
      <c r="M167" s="613"/>
      <c r="N167" s="613"/>
      <c r="O167" s="613"/>
      <c r="P167" s="613"/>
      <c r="Q167" s="613"/>
    </row>
    <row r="168" spans="1:17" ht="15.75">
      <c r="A168" s="2131"/>
      <c r="B168" s="2132"/>
      <c r="C168" s="848">
        <v>2017</v>
      </c>
      <c r="D168" s="849"/>
      <c r="E168" s="690"/>
      <c r="F168" s="849"/>
      <c r="G168" s="849"/>
      <c r="H168" s="849"/>
      <c r="I168" s="850"/>
      <c r="J168" s="851">
        <f t="shared" si="17"/>
        <v>0</v>
      </c>
      <c r="K168" s="852">
        <f t="shared" si="17"/>
        <v>0</v>
      </c>
      <c r="L168" s="613"/>
      <c r="M168" s="613"/>
      <c r="N168" s="613"/>
      <c r="O168" s="613"/>
      <c r="P168" s="613"/>
      <c r="Q168" s="613"/>
    </row>
    <row r="169" spans="1:17" ht="15.75">
      <c r="A169" s="2131"/>
      <c r="B169" s="2132"/>
      <c r="C169" s="853">
        <v>2018</v>
      </c>
      <c r="D169" s="849"/>
      <c r="E169" s="849"/>
      <c r="F169" s="849"/>
      <c r="G169" s="854"/>
      <c r="H169" s="849"/>
      <c r="I169" s="850"/>
      <c r="J169" s="851">
        <f t="shared" si="17"/>
        <v>0</v>
      </c>
      <c r="K169" s="852">
        <f t="shared" si="17"/>
        <v>0</v>
      </c>
      <c r="L169" s="844"/>
      <c r="M169" s="613"/>
      <c r="N169" s="613"/>
      <c r="O169" s="613"/>
      <c r="P169" s="613"/>
      <c r="Q169" s="613"/>
    </row>
    <row r="170" spans="1:17" ht="15.75">
      <c r="A170" s="2131"/>
      <c r="B170" s="2132"/>
      <c r="C170" s="848">
        <v>2019</v>
      </c>
      <c r="D170" s="690"/>
      <c r="E170" s="849"/>
      <c r="F170" s="849"/>
      <c r="G170" s="849"/>
      <c r="H170" s="854"/>
      <c r="I170" s="850"/>
      <c r="J170" s="851">
        <f t="shared" si="17"/>
        <v>0</v>
      </c>
      <c r="K170" s="852">
        <f t="shared" si="17"/>
        <v>0</v>
      </c>
      <c r="L170" s="844"/>
      <c r="M170" s="613"/>
      <c r="N170" s="613"/>
      <c r="O170" s="613"/>
      <c r="P170" s="613"/>
      <c r="Q170" s="613"/>
    </row>
    <row r="171" spans="1:17" ht="15.75">
      <c r="A171" s="2131"/>
      <c r="B171" s="2132"/>
      <c r="C171" s="853">
        <v>2020</v>
      </c>
      <c r="D171" s="849"/>
      <c r="E171" s="849"/>
      <c r="F171" s="849"/>
      <c r="G171" s="849"/>
      <c r="H171" s="849"/>
      <c r="I171" s="850"/>
      <c r="J171" s="851">
        <f t="shared" si="17"/>
        <v>0</v>
      </c>
      <c r="K171" s="852">
        <f t="shared" si="17"/>
        <v>0</v>
      </c>
      <c r="L171" s="844"/>
      <c r="M171" s="613"/>
      <c r="N171" s="613"/>
      <c r="O171" s="613"/>
      <c r="P171" s="613"/>
      <c r="Q171" s="613"/>
    </row>
    <row r="172" spans="1:17" ht="16.5" thickBot="1">
      <c r="A172" s="2133"/>
      <c r="B172" s="2134"/>
      <c r="C172" s="855" t="s">
        <v>13</v>
      </c>
      <c r="D172" s="722">
        <f>SUM(D165:D171)</f>
        <v>0</v>
      </c>
      <c r="E172" s="722">
        <f t="shared" ref="E172:K172" si="18">SUM(E165:E171)</f>
        <v>0</v>
      </c>
      <c r="F172" s="722">
        <f t="shared" si="18"/>
        <v>0</v>
      </c>
      <c r="G172" s="722">
        <f t="shared" si="18"/>
        <v>0</v>
      </c>
      <c r="H172" s="722">
        <f t="shared" si="18"/>
        <v>0</v>
      </c>
      <c r="I172" s="856">
        <f t="shared" si="18"/>
        <v>0</v>
      </c>
      <c r="J172" s="857">
        <f t="shared" si="18"/>
        <v>0</v>
      </c>
      <c r="K172" s="749">
        <f t="shared" si="18"/>
        <v>0</v>
      </c>
      <c r="L172" s="844"/>
      <c r="M172" s="613"/>
      <c r="N172" s="613"/>
      <c r="O172" s="613"/>
      <c r="P172" s="613"/>
      <c r="Q172" s="613"/>
    </row>
    <row r="173" spans="1:17" ht="15.75">
      <c r="A173" s="858"/>
      <c r="B173" s="692"/>
      <c r="C173" s="693"/>
      <c r="D173" s="643"/>
      <c r="E173" s="643"/>
      <c r="F173" s="643"/>
      <c r="G173" s="643"/>
      <c r="H173" s="643"/>
      <c r="I173" s="643"/>
      <c r="J173" s="643"/>
      <c r="K173" s="643"/>
      <c r="L173" s="643"/>
      <c r="M173" s="643"/>
      <c r="N173" s="643"/>
      <c r="O173" s="643"/>
      <c r="P173" s="643"/>
      <c r="Q173" s="643"/>
    </row>
    <row r="174" spans="1:17" ht="15.75">
      <c r="A174" s="859" t="s">
        <v>126</v>
      </c>
      <c r="B174" s="860"/>
      <c r="C174" s="861"/>
      <c r="D174" s="861"/>
      <c r="E174" s="861"/>
      <c r="F174" s="861"/>
      <c r="G174" s="861"/>
      <c r="H174" s="861"/>
      <c r="I174" s="861"/>
      <c r="J174" s="861"/>
      <c r="K174" s="861"/>
      <c r="L174" s="861"/>
      <c r="M174" s="861"/>
      <c r="N174" s="861"/>
      <c r="O174" s="861"/>
      <c r="P174" s="613"/>
      <c r="Q174" s="613"/>
    </row>
    <row r="175" spans="1:17" ht="16.5" thickBot="1">
      <c r="A175" s="607"/>
      <c r="B175" s="608"/>
      <c r="C175" s="613"/>
      <c r="D175" s="613"/>
      <c r="E175" s="613"/>
      <c r="F175" s="613"/>
      <c r="G175" s="613"/>
      <c r="H175" s="613"/>
      <c r="I175" s="613"/>
      <c r="J175" s="613"/>
      <c r="K175" s="613"/>
      <c r="L175" s="613"/>
      <c r="M175" s="613"/>
      <c r="N175" s="613"/>
      <c r="O175" s="613"/>
      <c r="P175" s="613"/>
      <c r="Q175" s="613"/>
    </row>
    <row r="176" spans="1:17" ht="16.5" thickBot="1">
      <c r="A176" s="2105" t="s">
        <v>127</v>
      </c>
      <c r="B176" s="2107" t="s">
        <v>279</v>
      </c>
      <c r="C176" s="2124" t="s">
        <v>9</v>
      </c>
      <c r="D176" s="862" t="s">
        <v>128</v>
      </c>
      <c r="E176" s="863"/>
      <c r="F176" s="863"/>
      <c r="G176" s="864"/>
      <c r="H176" s="865"/>
      <c r="I176" s="2126" t="s">
        <v>129</v>
      </c>
      <c r="J176" s="2127"/>
      <c r="K176" s="2127"/>
      <c r="L176" s="2127"/>
      <c r="M176" s="2127"/>
      <c r="N176" s="2127"/>
      <c r="O176" s="2128"/>
      <c r="P176" s="729"/>
      <c r="Q176" s="729"/>
    </row>
    <row r="177" spans="1:17" ht="105.75">
      <c r="A177" s="2106"/>
      <c r="B177" s="2108"/>
      <c r="C177" s="2125"/>
      <c r="D177" s="866" t="s">
        <v>130</v>
      </c>
      <c r="E177" s="867" t="s">
        <v>131</v>
      </c>
      <c r="F177" s="867" t="s">
        <v>132</v>
      </c>
      <c r="G177" s="868" t="s">
        <v>133</v>
      </c>
      <c r="H177" s="869" t="s">
        <v>134</v>
      </c>
      <c r="I177" s="870" t="s">
        <v>59</v>
      </c>
      <c r="J177" s="871" t="s">
        <v>60</v>
      </c>
      <c r="K177" s="871" t="s">
        <v>61</v>
      </c>
      <c r="L177" s="871" t="s">
        <v>62</v>
      </c>
      <c r="M177" s="871" t="s">
        <v>63</v>
      </c>
      <c r="N177" s="871" t="s">
        <v>64</v>
      </c>
      <c r="O177" s="872" t="s">
        <v>65</v>
      </c>
      <c r="P177" s="729"/>
      <c r="Q177" s="729"/>
    </row>
    <row r="178" spans="1:17" ht="15.75">
      <c r="A178" s="2111" t="s">
        <v>282</v>
      </c>
      <c r="B178" s="2112"/>
      <c r="C178" s="712">
        <v>2014</v>
      </c>
      <c r="D178" s="638"/>
      <c r="E178" s="639"/>
      <c r="F178" s="639"/>
      <c r="G178" s="816">
        <f>SUM(D178:F178)</f>
        <v>0</v>
      </c>
      <c r="H178" s="765"/>
      <c r="I178" s="765"/>
      <c r="J178" s="639"/>
      <c r="K178" s="639"/>
      <c r="L178" s="639"/>
      <c r="M178" s="639"/>
      <c r="N178" s="639"/>
      <c r="O178" s="642"/>
      <c r="P178" s="613"/>
      <c r="Q178" s="613"/>
    </row>
    <row r="179" spans="1:17" ht="15.75">
      <c r="A179" s="2111"/>
      <c r="B179" s="2112"/>
      <c r="C179" s="716">
        <v>2015</v>
      </c>
      <c r="D179" s="645"/>
      <c r="E179" s="646"/>
      <c r="F179" s="646"/>
      <c r="G179" s="816">
        <f t="shared" ref="G179:G184" si="19">SUM(D179:F179)</f>
        <v>0</v>
      </c>
      <c r="H179" s="873"/>
      <c r="I179" s="718"/>
      <c r="J179" s="646"/>
      <c r="K179" s="646"/>
      <c r="L179" s="646"/>
      <c r="M179" s="646"/>
      <c r="N179" s="646"/>
      <c r="O179" s="698"/>
      <c r="P179" s="613"/>
      <c r="Q179" s="613"/>
    </row>
    <row r="180" spans="1:17" ht="15.75">
      <c r="A180" s="2111"/>
      <c r="B180" s="2112"/>
      <c r="C180" s="716">
        <v>2016</v>
      </c>
      <c r="D180" s="645">
        <v>4</v>
      </c>
      <c r="E180" s="646"/>
      <c r="F180" s="646"/>
      <c r="G180" s="816">
        <f t="shared" si="19"/>
        <v>4</v>
      </c>
      <c r="H180" s="873">
        <v>7</v>
      </c>
      <c r="I180" s="718"/>
      <c r="J180" s="646"/>
      <c r="K180" s="646"/>
      <c r="L180" s="646"/>
      <c r="M180" s="646">
        <v>1</v>
      </c>
      <c r="N180" s="646"/>
      <c r="O180" s="698">
        <v>3</v>
      </c>
      <c r="P180" s="613"/>
      <c r="Q180" s="613"/>
    </row>
    <row r="181" spans="1:17" ht="15.75">
      <c r="A181" s="2111"/>
      <c r="B181" s="2112"/>
      <c r="C181" s="716">
        <v>2017</v>
      </c>
      <c r="D181" s="645">
        <v>2</v>
      </c>
      <c r="E181" s="646"/>
      <c r="F181" s="646"/>
      <c r="G181" s="816">
        <f t="shared" si="19"/>
        <v>2</v>
      </c>
      <c r="H181" s="873">
        <v>2</v>
      </c>
      <c r="I181" s="718"/>
      <c r="J181" s="646"/>
      <c r="K181" s="646"/>
      <c r="L181" s="646"/>
      <c r="M181" s="646"/>
      <c r="N181" s="646"/>
      <c r="O181" s="698">
        <v>2</v>
      </c>
      <c r="P181" s="613"/>
      <c r="Q181" s="613"/>
    </row>
    <row r="182" spans="1:17" ht="15.75">
      <c r="A182" s="2111"/>
      <c r="B182" s="2112"/>
      <c r="C182" s="716">
        <v>2018</v>
      </c>
      <c r="D182" s="645"/>
      <c r="E182" s="646"/>
      <c r="F182" s="646"/>
      <c r="G182" s="816">
        <f t="shared" si="19"/>
        <v>0</v>
      </c>
      <c r="H182" s="873"/>
      <c r="I182" s="718"/>
      <c r="J182" s="646"/>
      <c r="K182" s="646"/>
      <c r="L182" s="646"/>
      <c r="M182" s="646"/>
      <c r="N182" s="646"/>
      <c r="O182" s="698"/>
      <c r="P182" s="613"/>
      <c r="Q182" s="613"/>
    </row>
    <row r="183" spans="1:17" ht="15.75">
      <c r="A183" s="2111"/>
      <c r="B183" s="2112"/>
      <c r="C183" s="716">
        <v>2019</v>
      </c>
      <c r="D183" s="645"/>
      <c r="E183" s="646"/>
      <c r="F183" s="646"/>
      <c r="G183" s="816">
        <f t="shared" si="19"/>
        <v>0</v>
      </c>
      <c r="H183" s="873"/>
      <c r="I183" s="718"/>
      <c r="J183" s="646"/>
      <c r="K183" s="646"/>
      <c r="L183" s="646"/>
      <c r="M183" s="646"/>
      <c r="N183" s="646"/>
      <c r="O183" s="698"/>
      <c r="P183" s="613"/>
      <c r="Q183" s="613"/>
    </row>
    <row r="184" spans="1:17" ht="15.75">
      <c r="A184" s="2111"/>
      <c r="B184" s="2112"/>
      <c r="C184" s="716">
        <v>2020</v>
      </c>
      <c r="D184" s="645"/>
      <c r="E184" s="646"/>
      <c r="F184" s="646"/>
      <c r="G184" s="816">
        <f t="shared" si="19"/>
        <v>0</v>
      </c>
      <c r="H184" s="873"/>
      <c r="I184" s="718"/>
      <c r="J184" s="646"/>
      <c r="K184" s="646"/>
      <c r="L184" s="646"/>
      <c r="M184" s="646"/>
      <c r="N184" s="646"/>
      <c r="O184" s="698"/>
      <c r="P184" s="613"/>
      <c r="Q184" s="613"/>
    </row>
    <row r="185" spans="1:17" ht="16.5" thickBot="1">
      <c r="A185" s="2113"/>
      <c r="B185" s="2114"/>
      <c r="C185" s="719" t="s">
        <v>13</v>
      </c>
      <c r="D185" s="749">
        <f>SUM(D178:D184)</f>
        <v>6</v>
      </c>
      <c r="E185" s="722">
        <f>SUM(E178:E184)</f>
        <v>0</v>
      </c>
      <c r="F185" s="722">
        <f>SUM(F178:F184)</f>
        <v>0</v>
      </c>
      <c r="G185" s="817">
        <f t="shared" ref="G185:O185" si="20">SUM(G178:G184)</f>
        <v>6</v>
      </c>
      <c r="H185" s="818">
        <f t="shared" si="20"/>
        <v>9</v>
      </c>
      <c r="I185" s="721">
        <f t="shared" si="20"/>
        <v>0</v>
      </c>
      <c r="J185" s="722">
        <f t="shared" si="20"/>
        <v>0</v>
      </c>
      <c r="K185" s="722">
        <f t="shared" si="20"/>
        <v>0</v>
      </c>
      <c r="L185" s="722">
        <f t="shared" si="20"/>
        <v>0</v>
      </c>
      <c r="M185" s="722">
        <f t="shared" si="20"/>
        <v>1</v>
      </c>
      <c r="N185" s="722">
        <f t="shared" si="20"/>
        <v>0</v>
      </c>
      <c r="O185" s="723">
        <f t="shared" si="20"/>
        <v>5</v>
      </c>
      <c r="P185" s="613"/>
      <c r="Q185" s="613"/>
    </row>
    <row r="186" spans="1:17" ht="16.5" thickBot="1">
      <c r="A186" s="612"/>
      <c r="B186" s="613"/>
      <c r="C186" s="613"/>
      <c r="D186" s="613"/>
      <c r="E186" s="613"/>
      <c r="F186" s="613"/>
      <c r="G186" s="613"/>
      <c r="H186" s="613"/>
      <c r="I186" s="613"/>
      <c r="J186" s="613"/>
      <c r="K186" s="613"/>
      <c r="L186" s="613"/>
      <c r="M186" s="613"/>
      <c r="N186" s="613"/>
      <c r="O186" s="613"/>
      <c r="P186" s="613"/>
      <c r="Q186" s="613"/>
    </row>
    <row r="187" spans="1:17" ht="15.75">
      <c r="A187" s="2109" t="s">
        <v>137</v>
      </c>
      <c r="B187" s="2107" t="s">
        <v>279</v>
      </c>
      <c r="C187" s="2115" t="s">
        <v>9</v>
      </c>
      <c r="D187" s="2117" t="s">
        <v>138</v>
      </c>
      <c r="E187" s="2118"/>
      <c r="F187" s="2118"/>
      <c r="G187" s="2119"/>
      <c r="H187" s="2120" t="s">
        <v>139</v>
      </c>
      <c r="I187" s="2115"/>
      <c r="J187" s="2115"/>
      <c r="K187" s="2115"/>
      <c r="L187" s="2121"/>
      <c r="M187" s="613"/>
      <c r="N187" s="613"/>
      <c r="O187" s="613"/>
      <c r="P187" s="613"/>
      <c r="Q187" s="613"/>
    </row>
    <row r="188" spans="1:17" ht="75.75">
      <c r="A188" s="2110"/>
      <c r="B188" s="2108"/>
      <c r="C188" s="2116"/>
      <c r="D188" s="874" t="s">
        <v>140</v>
      </c>
      <c r="E188" s="874" t="s">
        <v>141</v>
      </c>
      <c r="F188" s="874" t="s">
        <v>142</v>
      </c>
      <c r="G188" s="875" t="s">
        <v>13</v>
      </c>
      <c r="H188" s="876" t="s">
        <v>143</v>
      </c>
      <c r="I188" s="874" t="s">
        <v>144</v>
      </c>
      <c r="J188" s="874" t="s">
        <v>145</v>
      </c>
      <c r="K188" s="874" t="s">
        <v>146</v>
      </c>
      <c r="L188" s="877" t="s">
        <v>147</v>
      </c>
      <c r="M188" s="613"/>
      <c r="N188" s="613"/>
      <c r="O188" s="613"/>
      <c r="P188" s="613"/>
      <c r="Q188" s="613"/>
    </row>
    <row r="189" spans="1:17" ht="15.75">
      <c r="A189" s="2094" t="s">
        <v>282</v>
      </c>
      <c r="B189" s="2095"/>
      <c r="C189" s="878">
        <v>2014</v>
      </c>
      <c r="D189" s="741"/>
      <c r="E189" s="715"/>
      <c r="F189" s="715"/>
      <c r="G189" s="879">
        <f>SUM(D189:F189)</f>
        <v>0</v>
      </c>
      <c r="H189" s="714"/>
      <c r="I189" s="715"/>
      <c r="J189" s="715"/>
      <c r="K189" s="715"/>
      <c r="L189" s="742"/>
      <c r="M189" s="613"/>
      <c r="N189" s="613"/>
      <c r="O189" s="613"/>
      <c r="P189" s="613"/>
      <c r="Q189" s="613"/>
    </row>
    <row r="190" spans="1:17" ht="15.75">
      <c r="A190" s="2096"/>
      <c r="B190" s="2097"/>
      <c r="C190" s="683">
        <v>2015</v>
      </c>
      <c r="D190" s="645"/>
      <c r="E190" s="646"/>
      <c r="F190" s="646"/>
      <c r="G190" s="879">
        <f t="shared" ref="G190:G195" si="21">SUM(D190:F190)</f>
        <v>0</v>
      </c>
      <c r="H190" s="718"/>
      <c r="I190" s="646"/>
      <c r="J190" s="646"/>
      <c r="K190" s="646"/>
      <c r="L190" s="698"/>
      <c r="M190" s="613"/>
      <c r="N190" s="613"/>
      <c r="O190" s="613"/>
      <c r="P190" s="613"/>
      <c r="Q190" s="613"/>
    </row>
    <row r="191" spans="1:17" ht="15.75">
      <c r="A191" s="2096"/>
      <c r="B191" s="2097"/>
      <c r="C191" s="683">
        <v>2016</v>
      </c>
      <c r="D191" s="645">
        <v>407</v>
      </c>
      <c r="E191" s="646"/>
      <c r="F191" s="646"/>
      <c r="G191" s="879">
        <f t="shared" si="21"/>
        <v>407</v>
      </c>
      <c r="H191" s="718"/>
      <c r="I191" s="646">
        <v>27</v>
      </c>
      <c r="J191" s="646"/>
      <c r="K191" s="646"/>
      <c r="L191" s="698">
        <v>380</v>
      </c>
      <c r="M191" s="613"/>
      <c r="N191" s="613"/>
      <c r="O191" s="613"/>
      <c r="P191" s="613"/>
      <c r="Q191" s="613"/>
    </row>
    <row r="192" spans="1:17" ht="15.75">
      <c r="A192" s="2096"/>
      <c r="B192" s="2097"/>
      <c r="C192" s="683">
        <v>2017</v>
      </c>
      <c r="D192" s="880">
        <v>302</v>
      </c>
      <c r="E192" s="646"/>
      <c r="F192" s="646"/>
      <c r="G192" s="879">
        <f t="shared" si="21"/>
        <v>302</v>
      </c>
      <c r="H192" s="718"/>
      <c r="I192" s="646">
        <v>52</v>
      </c>
      <c r="J192" s="646"/>
      <c r="K192" s="646"/>
      <c r="L192" s="698">
        <v>250</v>
      </c>
      <c r="M192" s="613"/>
      <c r="N192" s="613"/>
      <c r="O192" s="613"/>
      <c r="P192" s="613"/>
      <c r="Q192" s="613"/>
    </row>
    <row r="193" spans="1:17" ht="15.75">
      <c r="A193" s="2096"/>
      <c r="B193" s="2097"/>
      <c r="C193" s="683">
        <v>2018</v>
      </c>
      <c r="D193" s="645"/>
      <c r="E193" s="646"/>
      <c r="F193" s="646"/>
      <c r="G193" s="879">
        <f t="shared" si="21"/>
        <v>0</v>
      </c>
      <c r="H193" s="718"/>
      <c r="I193" s="646"/>
      <c r="J193" s="646"/>
      <c r="K193" s="646"/>
      <c r="L193" s="698"/>
      <c r="M193" s="613"/>
      <c r="N193" s="613"/>
      <c r="O193" s="613"/>
      <c r="P193" s="613"/>
      <c r="Q193" s="613"/>
    </row>
    <row r="194" spans="1:17" ht="15.75">
      <c r="A194" s="2096"/>
      <c r="B194" s="2097"/>
      <c r="C194" s="683">
        <v>2019</v>
      </c>
      <c r="D194" s="645"/>
      <c r="E194" s="646"/>
      <c r="F194" s="646"/>
      <c r="G194" s="879">
        <f t="shared" si="21"/>
        <v>0</v>
      </c>
      <c r="H194" s="718"/>
      <c r="I194" s="646"/>
      <c r="J194" s="646"/>
      <c r="K194" s="646"/>
      <c r="L194" s="698"/>
      <c r="M194" s="613"/>
      <c r="N194" s="613"/>
      <c r="O194" s="613"/>
      <c r="P194" s="613"/>
      <c r="Q194" s="613"/>
    </row>
    <row r="195" spans="1:17" ht="15.75">
      <c r="A195" s="2096"/>
      <c r="B195" s="2097"/>
      <c r="C195" s="683">
        <v>2020</v>
      </c>
      <c r="D195" s="645"/>
      <c r="E195" s="646"/>
      <c r="F195" s="646"/>
      <c r="G195" s="879">
        <f t="shared" si="21"/>
        <v>0</v>
      </c>
      <c r="H195" s="718"/>
      <c r="I195" s="646"/>
      <c r="J195" s="646"/>
      <c r="K195" s="646"/>
      <c r="L195" s="698"/>
      <c r="M195" s="613"/>
      <c r="N195" s="613"/>
      <c r="O195" s="613"/>
      <c r="P195" s="613"/>
      <c r="Q195" s="613"/>
    </row>
    <row r="196" spans="1:17" ht="16.5" thickBot="1">
      <c r="A196" s="2098"/>
      <c r="B196" s="2099"/>
      <c r="C196" s="746" t="s">
        <v>13</v>
      </c>
      <c r="D196" s="749">
        <f t="shared" ref="D196:L196" si="22">SUM(D189:D195)</f>
        <v>709</v>
      </c>
      <c r="E196" s="722">
        <f t="shared" si="22"/>
        <v>0</v>
      </c>
      <c r="F196" s="722">
        <f t="shared" si="22"/>
        <v>0</v>
      </c>
      <c r="G196" s="881">
        <f t="shared" si="22"/>
        <v>709</v>
      </c>
      <c r="H196" s="721">
        <f t="shared" si="22"/>
        <v>0</v>
      </c>
      <c r="I196" s="722">
        <f t="shared" si="22"/>
        <v>79</v>
      </c>
      <c r="J196" s="722">
        <f t="shared" si="22"/>
        <v>0</v>
      </c>
      <c r="K196" s="722">
        <f t="shared" si="22"/>
        <v>0</v>
      </c>
      <c r="L196" s="723">
        <f t="shared" si="22"/>
        <v>630</v>
      </c>
      <c r="M196" s="613"/>
      <c r="N196" s="613"/>
      <c r="O196" s="613"/>
      <c r="P196" s="613"/>
      <c r="Q196" s="613"/>
    </row>
    <row r="197" spans="1:17" ht="15.75">
      <c r="A197" s="612"/>
      <c r="B197" s="613"/>
      <c r="C197" s="613"/>
      <c r="D197" s="613"/>
      <c r="E197" s="613"/>
      <c r="F197" s="613"/>
      <c r="G197" s="613"/>
      <c r="H197" s="613"/>
      <c r="I197" s="613"/>
      <c r="J197" s="613"/>
      <c r="K197" s="613"/>
      <c r="L197" s="613"/>
      <c r="M197" s="613"/>
      <c r="N197" s="613"/>
      <c r="O197" s="613"/>
      <c r="P197" s="613"/>
      <c r="Q197" s="613"/>
    </row>
    <row r="198" spans="1:17" ht="15.75">
      <c r="A198" s="612"/>
      <c r="B198" s="613"/>
      <c r="C198" s="613"/>
      <c r="D198" s="613"/>
      <c r="E198" s="613"/>
      <c r="F198" s="613"/>
      <c r="G198" s="613"/>
      <c r="H198" s="613"/>
      <c r="I198" s="613"/>
      <c r="J198" s="613"/>
      <c r="K198" s="613"/>
      <c r="L198" s="613"/>
      <c r="M198" s="613"/>
      <c r="N198" s="613"/>
      <c r="O198" s="613"/>
      <c r="P198" s="613"/>
      <c r="Q198" s="613"/>
    </row>
    <row r="199" spans="1:17" ht="15.75">
      <c r="A199" s="882" t="s">
        <v>149</v>
      </c>
      <c r="B199" s="883"/>
      <c r="C199" s="884"/>
      <c r="D199" s="884"/>
      <c r="E199" s="884"/>
      <c r="F199" s="884"/>
      <c r="G199" s="884"/>
      <c r="H199" s="884"/>
      <c r="I199" s="884"/>
      <c r="J199" s="884"/>
      <c r="K199" s="884"/>
      <c r="L199" s="884"/>
      <c r="M199" s="675"/>
      <c r="N199" s="675"/>
      <c r="O199" s="613"/>
      <c r="P199" s="613"/>
      <c r="Q199" s="613"/>
    </row>
    <row r="200" spans="1:17" ht="16.5" thickBot="1">
      <c r="A200" s="882"/>
      <c r="B200" s="883"/>
      <c r="C200" s="884"/>
      <c r="D200" s="884"/>
      <c r="E200" s="884"/>
      <c r="F200" s="884"/>
      <c r="G200" s="884"/>
      <c r="H200" s="884"/>
      <c r="I200" s="884"/>
      <c r="J200" s="884"/>
      <c r="K200" s="884"/>
      <c r="L200" s="884"/>
      <c r="M200" s="613"/>
      <c r="N200" s="613"/>
      <c r="O200" s="613"/>
      <c r="P200" s="613"/>
      <c r="Q200" s="613"/>
    </row>
    <row r="201" spans="1:17" ht="81.75" customHeight="1">
      <c r="A201" s="885" t="s">
        <v>150</v>
      </c>
      <c r="B201" s="886" t="s">
        <v>279</v>
      </c>
      <c r="C201" s="887" t="s">
        <v>9</v>
      </c>
      <c r="D201" s="888" t="s">
        <v>151</v>
      </c>
      <c r="E201" s="889" t="s">
        <v>152</v>
      </c>
      <c r="F201" s="889" t="s">
        <v>153</v>
      </c>
      <c r="G201" s="887" t="s">
        <v>154</v>
      </c>
      <c r="H201" s="890" t="s">
        <v>155</v>
      </c>
      <c r="I201" s="891" t="s">
        <v>156</v>
      </c>
      <c r="J201" s="892" t="s">
        <v>157</v>
      </c>
      <c r="K201" s="889" t="s">
        <v>158</v>
      </c>
      <c r="L201" s="893" t="s">
        <v>159</v>
      </c>
      <c r="M201" s="729"/>
      <c r="N201" s="729"/>
      <c r="O201" s="729"/>
      <c r="P201" s="729"/>
      <c r="Q201" s="729"/>
    </row>
    <row r="202" spans="1:17" ht="15.75">
      <c r="A202" s="2100"/>
      <c r="B202" s="2097"/>
      <c r="C202" s="682">
        <v>2014</v>
      </c>
      <c r="D202" s="638"/>
      <c r="E202" s="639"/>
      <c r="F202" s="639"/>
      <c r="G202" s="637"/>
      <c r="H202" s="894"/>
      <c r="I202" s="895"/>
      <c r="J202" s="896"/>
      <c r="K202" s="639"/>
      <c r="L202" s="642"/>
      <c r="M202" s="613"/>
      <c r="N202" s="613"/>
      <c r="O202" s="613"/>
      <c r="P202" s="613"/>
      <c r="Q202" s="613"/>
    </row>
    <row r="203" spans="1:17" ht="15.75">
      <c r="A203" s="2100"/>
      <c r="B203" s="2097"/>
      <c r="C203" s="683">
        <v>2015</v>
      </c>
      <c r="D203" s="645"/>
      <c r="E203" s="646"/>
      <c r="F203" s="646"/>
      <c r="G203" s="644"/>
      <c r="H203" s="897"/>
      <c r="I203" s="898"/>
      <c r="J203" s="899"/>
      <c r="K203" s="646"/>
      <c r="L203" s="698"/>
      <c r="M203" s="613"/>
      <c r="N203" s="613"/>
      <c r="O203" s="613"/>
      <c r="P203" s="613"/>
      <c r="Q203" s="613"/>
    </row>
    <row r="204" spans="1:17" ht="15.75">
      <c r="A204" s="2100"/>
      <c r="B204" s="2097"/>
      <c r="C204" s="683">
        <v>2016</v>
      </c>
      <c r="D204" s="645"/>
      <c r="E204" s="646"/>
      <c r="F204" s="646"/>
      <c r="G204" s="644"/>
      <c r="H204" s="897"/>
      <c r="I204" s="898"/>
      <c r="J204" s="899"/>
      <c r="K204" s="646"/>
      <c r="L204" s="698"/>
      <c r="M204" s="613"/>
      <c r="N204" s="613"/>
      <c r="O204" s="613"/>
      <c r="P204" s="613"/>
      <c r="Q204" s="613"/>
    </row>
    <row r="205" spans="1:17" ht="15.75">
      <c r="A205" s="2100"/>
      <c r="B205" s="2097"/>
      <c r="C205" s="683">
        <v>2017</v>
      </c>
      <c r="D205" s="645">
        <v>2</v>
      </c>
      <c r="E205" s="646">
        <v>40</v>
      </c>
      <c r="F205" s="646"/>
      <c r="G205" s="644"/>
      <c r="H205" s="897"/>
      <c r="I205" s="898"/>
      <c r="J205" s="899"/>
      <c r="K205" s="646">
        <v>40</v>
      </c>
      <c r="L205" s="698"/>
      <c r="M205" s="613"/>
      <c r="N205" s="613"/>
      <c r="O205" s="613"/>
      <c r="P205" s="613"/>
      <c r="Q205" s="613"/>
    </row>
    <row r="206" spans="1:17" ht="15.75">
      <c r="A206" s="2100"/>
      <c r="B206" s="2097"/>
      <c r="C206" s="683">
        <v>2018</v>
      </c>
      <c r="D206" s="645"/>
      <c r="E206" s="646"/>
      <c r="F206" s="646"/>
      <c r="G206" s="644"/>
      <c r="H206" s="897"/>
      <c r="I206" s="898"/>
      <c r="J206" s="899"/>
      <c r="K206" s="646"/>
      <c r="L206" s="698"/>
      <c r="M206" s="613"/>
      <c r="N206" s="613"/>
      <c r="O206" s="613"/>
      <c r="P206" s="613"/>
      <c r="Q206" s="613"/>
    </row>
    <row r="207" spans="1:17" ht="15.75">
      <c r="A207" s="2100"/>
      <c r="B207" s="2097"/>
      <c r="C207" s="683">
        <v>2019</v>
      </c>
      <c r="D207" s="645"/>
      <c r="E207" s="646"/>
      <c r="F207" s="646"/>
      <c r="G207" s="644"/>
      <c r="H207" s="897"/>
      <c r="I207" s="898"/>
      <c r="J207" s="899"/>
      <c r="K207" s="646"/>
      <c r="L207" s="698"/>
      <c r="M207" s="613"/>
      <c r="N207" s="613"/>
      <c r="O207" s="613"/>
      <c r="P207" s="613"/>
      <c r="Q207" s="613"/>
    </row>
    <row r="208" spans="1:17" ht="15.75">
      <c r="A208" s="2100"/>
      <c r="B208" s="2097"/>
      <c r="C208" s="683">
        <v>2020</v>
      </c>
      <c r="D208" s="900"/>
      <c r="E208" s="901"/>
      <c r="F208" s="901"/>
      <c r="G208" s="902"/>
      <c r="H208" s="903"/>
      <c r="I208" s="904"/>
      <c r="J208" s="905"/>
      <c r="K208" s="901"/>
      <c r="L208" s="906"/>
      <c r="M208" s="613"/>
      <c r="N208" s="613"/>
      <c r="O208" s="613"/>
      <c r="P208" s="613"/>
      <c r="Q208" s="613"/>
    </row>
    <row r="209" spans="1:17" ht="16.5" thickBot="1">
      <c r="A209" s="2101"/>
      <c r="B209" s="2099"/>
      <c r="C209" s="746" t="s">
        <v>13</v>
      </c>
      <c r="D209" s="749">
        <f>SUM(D202:D208)</f>
        <v>2</v>
      </c>
      <c r="E209" s="749">
        <f t="shared" ref="E209:L209" si="23">SUM(E202:E208)</f>
        <v>40</v>
      </c>
      <c r="F209" s="749">
        <f t="shared" si="23"/>
        <v>0</v>
      </c>
      <c r="G209" s="749">
        <f t="shared" si="23"/>
        <v>0</v>
      </c>
      <c r="H209" s="749">
        <f t="shared" si="23"/>
        <v>0</v>
      </c>
      <c r="I209" s="749">
        <f t="shared" si="23"/>
        <v>0</v>
      </c>
      <c r="J209" s="749">
        <f t="shared" si="23"/>
        <v>0</v>
      </c>
      <c r="K209" s="749">
        <f t="shared" si="23"/>
        <v>40</v>
      </c>
      <c r="L209" s="749">
        <f t="shared" si="23"/>
        <v>0</v>
      </c>
      <c r="M209" s="613"/>
      <c r="N209" s="613"/>
      <c r="O209" s="613"/>
      <c r="P209" s="613"/>
      <c r="Q209" s="613"/>
    </row>
    <row r="210" spans="1:17" ht="15.75">
      <c r="A210" s="612"/>
      <c r="B210" s="613"/>
      <c r="C210" s="613"/>
      <c r="D210" s="613"/>
      <c r="E210" s="613"/>
      <c r="F210" s="613"/>
      <c r="G210" s="613"/>
      <c r="H210" s="613"/>
      <c r="I210" s="613"/>
      <c r="J210" s="613"/>
      <c r="K210" s="613"/>
      <c r="L210" s="613"/>
      <c r="M210" s="613"/>
      <c r="N210" s="613"/>
      <c r="O210" s="613"/>
      <c r="P210" s="613"/>
      <c r="Q210" s="613"/>
    </row>
    <row r="211" spans="1:17" ht="16.5" thickBot="1">
      <c r="A211" s="612"/>
      <c r="B211" s="613"/>
      <c r="C211" s="613"/>
      <c r="D211" s="613"/>
      <c r="E211" s="613"/>
      <c r="F211" s="613"/>
      <c r="G211" s="613"/>
      <c r="H211" s="613"/>
      <c r="I211" s="613"/>
      <c r="J211" s="613"/>
      <c r="K211" s="613"/>
      <c r="L211" s="613"/>
      <c r="M211" s="613"/>
      <c r="N211" s="613"/>
      <c r="O211" s="613"/>
      <c r="P211" s="613"/>
      <c r="Q211" s="613"/>
    </row>
    <row r="212" spans="1:17" ht="31.5">
      <c r="A212" s="907" t="s">
        <v>161</v>
      </c>
      <c r="B212" s="908" t="s">
        <v>283</v>
      </c>
      <c r="C212" s="909">
        <v>2014</v>
      </c>
      <c r="D212" s="910">
        <v>2015</v>
      </c>
      <c r="E212" s="910">
        <v>2016</v>
      </c>
      <c r="F212" s="910">
        <v>2017</v>
      </c>
      <c r="G212" s="910">
        <v>2018</v>
      </c>
      <c r="H212" s="910">
        <v>2019</v>
      </c>
      <c r="I212" s="911">
        <v>2020</v>
      </c>
      <c r="J212" s="613"/>
      <c r="K212" s="613"/>
      <c r="L212" s="613"/>
      <c r="M212" s="613"/>
      <c r="N212" s="613"/>
      <c r="O212" s="613"/>
      <c r="P212" s="613"/>
      <c r="Q212" s="613"/>
    </row>
    <row r="213" spans="1:17" ht="15.75">
      <c r="A213" s="912" t="s">
        <v>163</v>
      </c>
      <c r="B213" s="2102" t="s">
        <v>284</v>
      </c>
      <c r="C213" s="682"/>
      <c r="D213" s="913">
        <f>D217+D216+D214</f>
        <v>438807.80000000005</v>
      </c>
      <c r="E213" s="913">
        <f>E214+E216+E217</f>
        <v>864205.58000000007</v>
      </c>
      <c r="F213" s="743">
        <f>F214+F216+F217</f>
        <v>1322035.3800000001</v>
      </c>
      <c r="G213" s="743"/>
      <c r="H213" s="743"/>
      <c r="I213" s="914"/>
      <c r="J213" s="613"/>
      <c r="K213" s="613"/>
      <c r="L213" s="613"/>
      <c r="M213" s="613"/>
      <c r="N213" s="613"/>
      <c r="O213" s="613"/>
      <c r="P213" s="613"/>
      <c r="Q213" s="613"/>
    </row>
    <row r="214" spans="1:17" ht="15.75">
      <c r="A214" s="912" t="s">
        <v>164</v>
      </c>
      <c r="B214" s="2103"/>
      <c r="C214" s="682"/>
      <c r="D214" s="913">
        <v>419641.67000000004</v>
      </c>
      <c r="E214" s="743">
        <v>810937.39</v>
      </c>
      <c r="F214" s="743">
        <v>1080535.23</v>
      </c>
      <c r="G214" s="743"/>
      <c r="H214" s="743"/>
      <c r="I214" s="914"/>
      <c r="J214" s="915"/>
      <c r="K214" s="613"/>
      <c r="L214" s="613"/>
      <c r="M214" s="613"/>
      <c r="N214" s="613"/>
      <c r="O214" s="613"/>
      <c r="P214" s="613"/>
      <c r="Q214" s="613"/>
    </row>
    <row r="215" spans="1:17" ht="15.75">
      <c r="A215" s="912" t="s">
        <v>165</v>
      </c>
      <c r="B215" s="2103"/>
      <c r="C215" s="682"/>
      <c r="D215" s="743">
        <v>0</v>
      </c>
      <c r="E215" s="743">
        <v>0</v>
      </c>
      <c r="F215" s="743">
        <v>0</v>
      </c>
      <c r="G215" s="743"/>
      <c r="H215" s="743"/>
      <c r="I215" s="914"/>
      <c r="J215" s="613"/>
      <c r="K215" s="613"/>
      <c r="L215" s="613"/>
      <c r="M215" s="613"/>
      <c r="N215" s="613"/>
      <c r="O215" s="613"/>
      <c r="P215" s="613"/>
      <c r="Q215" s="613"/>
    </row>
    <row r="216" spans="1:17" ht="30.75">
      <c r="A216" s="916" t="s">
        <v>166</v>
      </c>
      <c r="B216" s="2103"/>
      <c r="C216" s="682"/>
      <c r="D216" s="743">
        <v>13689.99</v>
      </c>
      <c r="E216" s="913">
        <v>33324.19</v>
      </c>
      <c r="F216" s="743">
        <v>126820.54</v>
      </c>
      <c r="G216" s="743"/>
      <c r="H216" s="743"/>
      <c r="I216" s="914"/>
      <c r="J216" s="613"/>
      <c r="K216" s="613"/>
      <c r="L216" s="613"/>
      <c r="M216" s="613"/>
      <c r="N216" s="613"/>
      <c r="O216" s="613"/>
      <c r="P216" s="613"/>
      <c r="Q216" s="613"/>
    </row>
    <row r="217" spans="1:17" ht="33" customHeight="1">
      <c r="A217" s="916" t="s">
        <v>167</v>
      </c>
      <c r="B217" s="2103"/>
      <c r="C217" s="682"/>
      <c r="D217" s="743">
        <v>5476.14</v>
      </c>
      <c r="E217" s="913">
        <v>19944</v>
      </c>
      <c r="F217" s="743">
        <v>114679.61</v>
      </c>
      <c r="G217" s="743"/>
      <c r="H217" s="743"/>
      <c r="I217" s="914"/>
      <c r="J217" s="613"/>
      <c r="K217" s="613"/>
      <c r="L217" s="613"/>
      <c r="M217" s="613"/>
      <c r="N217" s="613"/>
      <c r="O217" s="613"/>
      <c r="P217" s="613"/>
      <c r="Q217" s="613"/>
    </row>
    <row r="218" spans="1:17" ht="45.75">
      <c r="A218" s="916" t="s">
        <v>168</v>
      </c>
      <c r="B218" s="2103"/>
      <c r="C218" s="682"/>
      <c r="D218" s="743">
        <v>113328.82</v>
      </c>
      <c r="E218" s="743">
        <v>269886.19</v>
      </c>
      <c r="F218" s="743">
        <v>388197.58</v>
      </c>
      <c r="G218" s="743"/>
      <c r="H218" s="743"/>
      <c r="I218" s="914"/>
      <c r="J218" s="915"/>
      <c r="K218" s="613"/>
      <c r="L218" s="613"/>
      <c r="M218" s="613"/>
      <c r="N218" s="613"/>
      <c r="O218" s="613"/>
      <c r="P218" s="613"/>
      <c r="Q218" s="613"/>
    </row>
    <row r="219" spans="1:17" ht="80.25" customHeight="1" thickBot="1">
      <c r="A219" s="917"/>
      <c r="B219" s="2104"/>
      <c r="C219" s="650" t="s">
        <v>13</v>
      </c>
      <c r="D219" s="918">
        <f>SUM(D214:D218)</f>
        <v>552136.62000000011</v>
      </c>
      <c r="E219" s="919">
        <f>SUM(E214:E218)</f>
        <v>1134091.77</v>
      </c>
      <c r="F219" s="919">
        <f>SUM(F214:F218)</f>
        <v>1710232.9600000002</v>
      </c>
      <c r="G219" s="919">
        <f t="shared" ref="G219:I219" si="24">SUM(G214:G218)</f>
        <v>0</v>
      </c>
      <c r="H219" s="919">
        <f t="shared" si="24"/>
        <v>0</v>
      </c>
      <c r="I219" s="920">
        <f t="shared" si="24"/>
        <v>0</v>
      </c>
      <c r="J219" s="613"/>
      <c r="K219" s="613"/>
      <c r="L219" s="613"/>
      <c r="M219" s="613"/>
      <c r="N219" s="613"/>
      <c r="O219" s="613"/>
      <c r="P219" s="613"/>
      <c r="Q219" s="613"/>
    </row>
    <row r="220" spans="1:17" ht="15.75">
      <c r="A220" s="612"/>
      <c r="B220" s="613"/>
      <c r="C220" s="613"/>
      <c r="D220" s="613"/>
      <c r="E220" s="613"/>
      <c r="F220" s="613"/>
      <c r="G220" s="613"/>
      <c r="H220" s="613"/>
      <c r="I220" s="613"/>
      <c r="J220" s="613"/>
      <c r="K220" s="613"/>
      <c r="L220" s="613"/>
      <c r="M220" s="613"/>
      <c r="N220" s="613"/>
      <c r="O220" s="613"/>
      <c r="P220" s="613"/>
      <c r="Q220" s="613"/>
    </row>
    <row r="221" spans="1:17" ht="15.75">
      <c r="A221" s="612"/>
      <c r="B221" s="613"/>
      <c r="C221" s="613"/>
      <c r="D221" s="613"/>
      <c r="E221" s="613"/>
      <c r="F221" s="613"/>
      <c r="G221" s="613"/>
      <c r="H221" s="613"/>
      <c r="I221" s="613"/>
      <c r="J221" s="613"/>
      <c r="K221" s="613"/>
      <c r="L221" s="613"/>
      <c r="M221" s="613"/>
      <c r="N221" s="613"/>
      <c r="O221" s="613"/>
      <c r="P221" s="613"/>
      <c r="Q221" s="613"/>
    </row>
    <row r="222" spans="1:17" ht="15.75">
      <c r="A222" s="612"/>
      <c r="B222" s="613"/>
      <c r="C222" s="613"/>
      <c r="D222" s="915">
        <f>D213+E213+F213</f>
        <v>2625048.7600000002</v>
      </c>
      <c r="E222" s="915"/>
      <c r="F222" s="613"/>
      <c r="G222" s="613"/>
      <c r="H222" s="613"/>
      <c r="I222" s="613"/>
      <c r="J222" s="613"/>
      <c r="K222" s="613"/>
      <c r="L222" s="613"/>
      <c r="M222" s="613"/>
      <c r="N222" s="613"/>
      <c r="O222" s="613"/>
      <c r="P222" s="613"/>
      <c r="Q222" s="613"/>
    </row>
    <row r="223" spans="1:17" ht="15.75">
      <c r="A223" s="612"/>
      <c r="B223" s="613"/>
      <c r="C223" s="613"/>
      <c r="D223" s="613"/>
      <c r="E223" s="915"/>
      <c r="F223" s="613"/>
      <c r="G223" s="613"/>
      <c r="H223" s="613"/>
      <c r="I223" s="613"/>
      <c r="J223" s="613"/>
      <c r="K223" s="613"/>
      <c r="L223" s="613"/>
      <c r="M223" s="613"/>
      <c r="N223" s="613"/>
      <c r="O223" s="613"/>
      <c r="P223" s="613"/>
      <c r="Q223" s="613"/>
    </row>
    <row r="224" spans="1:17" ht="15.75">
      <c r="A224" s="612"/>
      <c r="B224" s="613"/>
      <c r="C224" s="613"/>
      <c r="D224" s="613"/>
      <c r="E224" s="613"/>
      <c r="F224" s="613"/>
      <c r="G224" s="613"/>
      <c r="H224" s="613"/>
      <c r="I224" s="613"/>
      <c r="J224" s="613"/>
      <c r="K224" s="613"/>
      <c r="L224" s="613"/>
      <c r="M224" s="613"/>
      <c r="N224" s="613"/>
      <c r="O224" s="613"/>
      <c r="P224" s="613"/>
      <c r="Q224" s="613"/>
    </row>
    <row r="225" spans="1:17" ht="15.75">
      <c r="A225" s="612"/>
      <c r="B225" s="613"/>
      <c r="C225" s="613"/>
      <c r="D225" s="613"/>
      <c r="E225" s="613"/>
      <c r="F225" s="613"/>
      <c r="G225" s="613"/>
      <c r="H225" s="613"/>
      <c r="I225" s="613"/>
      <c r="J225" s="613"/>
      <c r="K225" s="613"/>
      <c r="L225" s="613"/>
      <c r="M225" s="613"/>
      <c r="N225" s="613"/>
      <c r="O225" s="613"/>
      <c r="P225" s="613"/>
      <c r="Q225" s="613"/>
    </row>
  </sheetData>
  <mergeCells count="55">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D96:E96"/>
    <mergeCell ref="A98:B105"/>
    <mergeCell ref="A107:A108"/>
    <mergeCell ref="B107:B108"/>
    <mergeCell ref="C107:C108"/>
    <mergeCell ref="D107:D108"/>
    <mergeCell ref="C96:C97"/>
    <mergeCell ref="C142:C143"/>
    <mergeCell ref="J142:N142"/>
    <mergeCell ref="A109:B116"/>
    <mergeCell ref="A118:A119"/>
    <mergeCell ref="B118:B119"/>
    <mergeCell ref="C118:C119"/>
    <mergeCell ref="D118:D119"/>
    <mergeCell ref="A120:B127"/>
    <mergeCell ref="B129:B130"/>
    <mergeCell ref="A131:B137"/>
    <mergeCell ref="A142:A143"/>
    <mergeCell ref="B142:B143"/>
    <mergeCell ref="A144:B151"/>
    <mergeCell ref="C187:C188"/>
    <mergeCell ref="D187:G187"/>
    <mergeCell ref="H187:L187"/>
    <mergeCell ref="C153:C154"/>
    <mergeCell ref="A155:B162"/>
    <mergeCell ref="C176:C177"/>
    <mergeCell ref="I176:O176"/>
    <mergeCell ref="A178:B185"/>
    <mergeCell ref="A165:B172"/>
    <mergeCell ref="A153:A154"/>
    <mergeCell ref="B153:B154"/>
    <mergeCell ref="A189:B196"/>
    <mergeCell ref="A202:B209"/>
    <mergeCell ref="B213:B219"/>
    <mergeCell ref="A176:A177"/>
    <mergeCell ref="B176:B177"/>
    <mergeCell ref="A187:A188"/>
    <mergeCell ref="B187:B18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KOWR</vt:lpstr>
      <vt:lpstr>ARiMR</vt:lpstr>
      <vt:lpstr>MRiRW</vt:lpstr>
      <vt:lpstr>Jednostka Centralna</vt:lpstr>
      <vt:lpstr>Centrum Doradztwa Rolniczego</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RAZEM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dc:creator>
  <cp:lastModifiedBy>09</cp:lastModifiedBy>
  <dcterms:created xsi:type="dcterms:W3CDTF">2018-03-19T11:53:58Z</dcterms:created>
  <dcterms:modified xsi:type="dcterms:W3CDTF">2018-03-27T13:20:01Z</dcterms:modified>
</cp:coreProperties>
</file>